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255" windowWidth="20115" windowHeight="7305" activeTab="2"/>
  </bookViews>
  <sheets>
    <sheet name="Plan" sheetId="10" r:id="rId1"/>
    <sheet name="Données" sheetId="14" r:id="rId2"/>
    <sheet name="1)Règles de base - 30% et 3M" sheetId="3" r:id="rId3"/>
    <sheet name="1)bis - 30% du groupe" sheetId="13" r:id="rId4"/>
    <sheet name="2) Report" sheetId="5" r:id="rId5"/>
    <sheet name="3) Consolidation - EBITDA" sheetId="6" r:id="rId6"/>
    <sheet name="3) Conso compt - equity escape" sheetId="12" r:id="rId7"/>
    <sheet name="Feuil1" sheetId="19" r:id="rId8"/>
  </sheets>
  <calcPr calcId="145621"/>
</workbook>
</file>

<file path=xl/calcChain.xml><?xml version="1.0" encoding="utf-8"?>
<calcChain xmlns="http://schemas.openxmlformats.org/spreadsheetml/2006/main">
  <c r="D14" i="5" l="1"/>
  <c r="F14" i="5"/>
  <c r="B4" i="5" l="1"/>
  <c r="B9" i="5" s="1"/>
  <c r="B11" i="5" s="1"/>
  <c r="C4" i="5"/>
  <c r="C9" i="5" s="1"/>
  <c r="C11" i="5" s="1"/>
  <c r="D4" i="5"/>
  <c r="D9" i="5"/>
  <c r="D11" i="5"/>
  <c r="F4" i="5"/>
  <c r="F9" i="5"/>
  <c r="F11" i="5"/>
  <c r="E4" i="5"/>
  <c r="E9" i="5"/>
  <c r="E11" i="5"/>
  <c r="D19" i="5"/>
  <c r="U37" i="6"/>
  <c r="U38" i="6"/>
  <c r="U39" i="6"/>
  <c r="T37" i="6"/>
  <c r="T38" i="6"/>
  <c r="T39" i="6"/>
  <c r="S27" i="6"/>
  <c r="S32" i="6"/>
  <c r="S37" i="6"/>
  <c r="O27" i="6"/>
  <c r="O32" i="6"/>
  <c r="S38" i="6"/>
  <c r="S39" i="6"/>
  <c r="Q39" i="6"/>
  <c r="P39" i="6"/>
  <c r="U27" i="6"/>
  <c r="U32" i="6"/>
  <c r="U34" i="6"/>
  <c r="U35" i="6"/>
  <c r="S34" i="6"/>
  <c r="S35" i="6"/>
  <c r="Q27" i="6"/>
  <c r="Q32" i="6"/>
  <c r="Q34" i="6"/>
  <c r="Q35" i="6"/>
  <c r="O34" i="6"/>
  <c r="O35" i="6"/>
  <c r="M27" i="6"/>
  <c r="M32" i="6"/>
  <c r="M34" i="6"/>
  <c r="M35" i="6"/>
  <c r="H8" i="6"/>
  <c r="D9" i="6"/>
  <c r="D10" i="6"/>
  <c r="J2" i="6"/>
  <c r="J3" i="6"/>
  <c r="J5" i="6"/>
  <c r="J6" i="6"/>
  <c r="F2" i="6"/>
  <c r="F3" i="6"/>
  <c r="F5" i="6"/>
  <c r="F6" i="6"/>
  <c r="D5" i="6"/>
  <c r="D6" i="6"/>
  <c r="B2" i="6"/>
  <c r="B3" i="6"/>
  <c r="B5" i="6"/>
  <c r="B6" i="6"/>
  <c r="B24" i="3"/>
  <c r="B29" i="3"/>
  <c r="B31" i="3"/>
  <c r="B32" i="3"/>
  <c r="B4" i="3"/>
  <c r="B9" i="3"/>
  <c r="B11" i="3"/>
  <c r="B12" i="3"/>
  <c r="B14" i="3"/>
  <c r="B13" i="3"/>
  <c r="C4" i="3"/>
  <c r="C9" i="3"/>
  <c r="D4" i="3"/>
  <c r="D9" i="3"/>
  <c r="E12" i="6"/>
  <c r="E13" i="6"/>
  <c r="E14" i="6"/>
  <c r="F12" i="6"/>
  <c r="F13" i="6"/>
  <c r="F14" i="6"/>
  <c r="F10" i="6"/>
  <c r="E10" i="6"/>
  <c r="E11" i="6"/>
  <c r="F11" i="6"/>
  <c r="D18" i="13"/>
  <c r="C18" i="13"/>
  <c r="B18" i="13"/>
  <c r="J8" i="6"/>
  <c r="J9" i="6"/>
  <c r="J10" i="6"/>
  <c r="I8" i="6"/>
  <c r="I9" i="6"/>
  <c r="I10" i="6"/>
  <c r="F5" i="13"/>
  <c r="F8" i="13"/>
  <c r="H8" i="13"/>
  <c r="G8" i="13"/>
  <c r="G5" i="13"/>
  <c r="H5" i="13"/>
  <c r="H18" i="13"/>
  <c r="G18" i="13"/>
  <c r="F18" i="13"/>
  <c r="C22" i="5"/>
  <c r="B22" i="5"/>
  <c r="D20" i="13"/>
  <c r="C20" i="13"/>
  <c r="B20" i="13"/>
  <c r="D9" i="13"/>
  <c r="D14" i="13"/>
  <c r="D15" i="13"/>
  <c r="D17" i="13"/>
  <c r="D19" i="13"/>
  <c r="C9" i="13"/>
  <c r="C14" i="13"/>
  <c r="C15" i="13"/>
  <c r="C17" i="13"/>
  <c r="C19" i="13"/>
  <c r="B9" i="13"/>
  <c r="B14" i="13"/>
  <c r="B15" i="13"/>
  <c r="B17" i="13"/>
  <c r="B19" i="13"/>
  <c r="C16" i="3"/>
  <c r="C18" i="3"/>
  <c r="D16" i="3"/>
  <c r="D18" i="3"/>
  <c r="B16" i="3"/>
  <c r="B18" i="3"/>
  <c r="C19" i="3"/>
  <c r="D19" i="3"/>
  <c r="B19" i="3"/>
  <c r="D11" i="3"/>
  <c r="D12" i="3"/>
  <c r="C11" i="3"/>
  <c r="C12" i="3"/>
  <c r="H20" i="13"/>
  <c r="G20" i="13"/>
  <c r="F20" i="13"/>
  <c r="H15" i="13"/>
  <c r="H17" i="13"/>
  <c r="H19" i="13"/>
  <c r="G15" i="13"/>
  <c r="G17" i="13"/>
  <c r="G19" i="13"/>
  <c r="F15" i="13"/>
  <c r="F17" i="13"/>
  <c r="F19" i="13"/>
  <c r="H3" i="5"/>
  <c r="B2" i="12"/>
  <c r="C2" i="12"/>
  <c r="C3" i="12"/>
  <c r="D3" i="12"/>
  <c r="D2" i="12"/>
  <c r="D23" i="13"/>
  <c r="B23" i="13"/>
  <c r="C23" i="13"/>
  <c r="B22" i="13"/>
  <c r="C22" i="13"/>
  <c r="D22" i="13"/>
  <c r="F6" i="12"/>
  <c r="B6" i="12"/>
  <c r="G6" i="12"/>
  <c r="C6" i="12"/>
  <c r="H6" i="12"/>
  <c r="D6" i="12"/>
  <c r="C19" i="5" l="1"/>
  <c r="C12" i="5"/>
  <c r="B21" i="5"/>
  <c r="B20" i="5"/>
  <c r="C21" i="5" s="1"/>
  <c r="B12" i="5"/>
  <c r="E12" i="5"/>
  <c r="E16" i="5"/>
  <c r="D12" i="5"/>
  <c r="F12" i="5"/>
  <c r="D17" i="5" l="1"/>
  <c r="D16" i="5"/>
  <c r="E14" i="5"/>
  <c r="E19" i="5"/>
  <c r="C20" i="5"/>
  <c r="F16" i="5" l="1"/>
  <c r="C17" i="5" s="1"/>
  <c r="B17" i="5" s="1"/>
  <c r="F19" i="5"/>
  <c r="D20" i="5"/>
  <c r="D22" i="5"/>
  <c r="D21" i="5"/>
  <c r="E20" i="5" l="1"/>
  <c r="E22" i="5"/>
  <c r="E21" i="5"/>
  <c r="F21" i="5" l="1"/>
  <c r="F22" i="5"/>
  <c r="F20" i="5"/>
</calcChain>
</file>

<file path=xl/comments1.xml><?xml version="1.0" encoding="utf-8"?>
<comments xmlns="http://schemas.openxmlformats.org/spreadsheetml/2006/main">
  <authors>
    <author>X230T</author>
  </authors>
  <commentList>
    <comment ref="F4" authorId="0">
      <text>
        <r>
          <rPr>
            <b/>
            <sz val="9"/>
            <color indexed="81"/>
            <rFont val="Tahoma"/>
            <family val="2"/>
          </rPr>
          <t>X230T:</t>
        </r>
        <r>
          <rPr>
            <sz val="9"/>
            <color indexed="81"/>
            <rFont val="Tahoma"/>
            <family val="2"/>
          </rPr>
          <t xml:space="preserve">
Prêt venant de tiers
</t>
        </r>
      </text>
    </comment>
    <comment ref="F16" authorId="0">
      <text>
        <r>
          <rPr>
            <b/>
            <sz val="9"/>
            <color indexed="81"/>
            <rFont val="Tahoma"/>
            <family val="2"/>
          </rPr>
          <t>X230T:</t>
        </r>
        <r>
          <rPr>
            <sz val="9"/>
            <color indexed="81"/>
            <rFont val="Tahoma"/>
            <family val="2"/>
          </rPr>
          <t xml:space="preserve">
Prêt venant de tiers
</t>
        </r>
      </text>
    </comment>
  </commentList>
</comments>
</file>

<file path=xl/comments2.xml><?xml version="1.0" encoding="utf-8"?>
<comments xmlns="http://schemas.openxmlformats.org/spreadsheetml/2006/main">
  <authors>
    <author>X230T</author>
  </authors>
  <commentList>
    <comment ref="G14" authorId="0">
      <text>
        <r>
          <rPr>
            <b/>
            <sz val="9"/>
            <color indexed="81"/>
            <rFont val="Tahoma"/>
            <family val="2"/>
          </rPr>
          <t>X230T:</t>
        </r>
        <r>
          <rPr>
            <sz val="9"/>
            <color indexed="81"/>
            <rFont val="Tahoma"/>
            <family val="2"/>
          </rPr>
          <t xml:space="preserve">
REBITDA utilisé</t>
        </r>
      </text>
    </comment>
    <comment ref="F20" authorId="0">
      <text>
        <r>
          <rPr>
            <b/>
            <sz val="9"/>
            <color indexed="81"/>
            <rFont val="Tahoma"/>
            <family val="2"/>
          </rPr>
          <t>X230T:</t>
        </r>
        <r>
          <rPr>
            <sz val="9"/>
            <color indexed="81"/>
            <rFont val="Tahoma"/>
            <family val="2"/>
          </rPr>
          <t xml:space="preserve">
Dividende reçue - dividende taxable ? (-135000000) car l'année d'après c'est impossible car 173 millions alors que seulement 22 de dividendes reçues…
</t>
        </r>
      </text>
    </comment>
  </commentList>
</comments>
</file>

<file path=xl/comments3.xml><?xml version="1.0" encoding="utf-8"?>
<comments xmlns="http://schemas.openxmlformats.org/spreadsheetml/2006/main">
  <authors>
    <author>X230T</author>
  </authors>
  <commentList>
    <comment ref="A12" authorId="0">
      <text>
        <r>
          <rPr>
            <b/>
            <sz val="9"/>
            <color indexed="81"/>
            <rFont val="Tahoma"/>
            <charset val="1"/>
          </rPr>
          <t>X230T:</t>
        </r>
        <r>
          <rPr>
            <sz val="9"/>
            <color indexed="81"/>
            <rFont val="Tahoma"/>
            <charset val="1"/>
          </rPr>
          <t xml:space="preserve">
(Profits)+(EBC)+(Taxes)+(Amortisation/Depreciation)-(Exemptincome)</t>
        </r>
      </text>
    </comment>
  </commentList>
</comments>
</file>

<file path=xl/sharedStrings.xml><?xml version="1.0" encoding="utf-8"?>
<sst xmlns="http://schemas.openxmlformats.org/spreadsheetml/2006/main" count="231" uniqueCount="87">
  <si>
    <t>Compte d'exploitation</t>
  </si>
  <si>
    <t>EBIT</t>
  </si>
  <si>
    <t>EBITDA</t>
  </si>
  <si>
    <t>x Ratio de référence</t>
  </si>
  <si>
    <t>Charges des dettes (650)</t>
  </si>
  <si>
    <t>Réductions de valeur sur actifs circulants (651)</t>
  </si>
  <si>
    <t>Autres charges financières (652/9)</t>
  </si>
  <si>
    <t>Amortissements et réductions de valeur
sur frais d’établissement, sur
immobilisations incorporelles et corporelles (630)</t>
  </si>
  <si>
    <t>Réductions de valeur sur stocks, sur commandes en
cours d’exécution et sur créances commerciales :
dotations (reprises) (631/4)</t>
  </si>
  <si>
    <t>Amortissements et réductions de valeur exceptionnels sur frais d’établissement, sur immobilisations incorporelles et corporelles (660)</t>
  </si>
  <si>
    <t>Résultat imposable avant impôt (9903)</t>
  </si>
  <si>
    <t>(Autres produits financiers) (752/9)</t>
  </si>
  <si>
    <t>(Reprises d’amortissements et de réductions de valeur sur immobilisations incorporelles et corporelles) (760)</t>
  </si>
  <si>
    <t>Déduction maximale autorisée</t>
  </si>
  <si>
    <t xml:space="preserve">Charges d'intérêts non déductibles </t>
  </si>
  <si>
    <t>Capitaux propres (10/15)</t>
  </si>
  <si>
    <t>(Produits des immobilisations financières) (750)</t>
  </si>
  <si>
    <t>Conlcusion</t>
  </si>
  <si>
    <t>Conclusion</t>
  </si>
  <si>
    <t>Charges d'intérêts non déductibles reportées</t>
  </si>
  <si>
    <t>Principe de l'ATAD</t>
  </si>
  <si>
    <t>Exceptions ATAD</t>
  </si>
  <si>
    <t>PLAN</t>
  </si>
  <si>
    <t>MODE DE CALCUL Thin Cap</t>
  </si>
  <si>
    <t>2) Exception de report</t>
  </si>
  <si>
    <t>Compte d'exploitation consolidé</t>
  </si>
  <si>
    <t>Le ratio groupe intérêt/EBITDA n'aurait aucune influence</t>
  </si>
  <si>
    <t>Article</t>
  </si>
  <si>
    <t>3. Par dérogation au paragraphe 1, le contribuable peut se voir autoriser à: a) déduire les surcoûts d'emprunt à hauteur de 3 000 000 EUR;</t>
  </si>
  <si>
    <t>3) Exception du groupe : ratio intérêts/EBITDA</t>
  </si>
  <si>
    <t>3) Exception du groupe : Fonds propres sur Actif (equity escape)</t>
  </si>
  <si>
    <t>5. Lorsque le contribuable est membre d'un groupe consolidé à des fins de comptabilité financière, il peut se voir autoriser soit: a) à déduire l'intégralité des surcoûts d'emprunt s'il peut démontrer que le ratio entre ses fonds propres et l'ensemble de ses actifs est égal ou supérieur au ratio équivalent du groupe, pour autant que les conditions suivantes soient remplies: i) le ratio entre les fonds propres d'un contribuable et l'ensemble de ses actifs est considéré comme égal au ratio équivalent du groupe si le ratio entre les fonds propres du contribuable et l'ensemble de ses actifs est inférieur de deux points de pourcentage au maximum; et ii) l'ensemble des actifs et des passifs sont estimés selon la même méthode que celle utilisée dans les états financiers consolidés visés au paragraphe 8;</t>
  </si>
  <si>
    <t>Actif</t>
  </si>
  <si>
    <t>Ratio</t>
  </si>
  <si>
    <t>Nouvelle déduction maximale autorisée</t>
  </si>
  <si>
    <t>Déduction maximale autorisée pour l'entité</t>
  </si>
  <si>
    <t>Charges d'intérêts non déductibles  pour l'entité</t>
  </si>
  <si>
    <t>Remarques</t>
  </si>
  <si>
    <t>Difficulté pour l'entreprise d'obtenir le même ratio tout en déduisant un maximum d'intérêt</t>
  </si>
  <si>
    <t>1)Calcul règles de base : les 30% de l'EBITDA et la limite des 3 millions</t>
  </si>
  <si>
    <t>1)bis Règles de base - 30% du groupe</t>
  </si>
  <si>
    <t>1. al 2 : Aux fins du présent article, les États membres ont la faculté de considérer également comme contribuable: a) une entité ayant la possibilité ou l'obligation d'appliquer les règles pour le compte d'un groupe, tel qu'il est défini en droit fiscal national; b) une entité d'un groupe, telle qu'elle est définie dans le droit fiscal national, qui ne consolide pas les résultats de ses membres à des fins fiscales. Dans cette situation, les surcoûts d'emprunt et l'EBITDA peuvent être calculés au niveau du groupe, en englobant les résultats de tous ses membres.</t>
  </si>
  <si>
    <t>L'utilisation de l'ebitda et des intérêts du groupe permet de déduire plus</t>
  </si>
  <si>
    <t>Possibilité de prendre seulement l'EBITDA du groupe et les intérêts de l'entité?</t>
  </si>
  <si>
    <t>Remarque :</t>
  </si>
  <si>
    <t>Déduction maximale autorisée avec l'EBITDA et intérêts du groupe</t>
  </si>
  <si>
    <t>Charges d'intérêts non déductibles  avec l'EBITDA et intérêts du groupe</t>
  </si>
  <si>
    <t xml:space="preserve">UTILISATION DE L'EBITDA ET DES CHARGES D'INTERÊTS DU GROUPE </t>
  </si>
  <si>
    <t>UTILISATION DU RATIO INTERETS/EBITDA DU GROUPE POUR CALCULER LES NOUVELLES DEDUCTIONS POSSIBLES</t>
  </si>
  <si>
    <t>UTILISATION DE L'EBIT</t>
  </si>
  <si>
    <t>CHIFFRES CONSOLIDES</t>
  </si>
  <si>
    <t>Données</t>
  </si>
  <si>
    <t>EBITDA ATAD</t>
  </si>
  <si>
    <t>Surcoût d'emprunt</t>
  </si>
  <si>
    <t>MODE DE CALCUL EBIT/EBITDA+EBITDA européen</t>
  </si>
  <si>
    <t>(Produits des actifs circulants) (751)</t>
  </si>
  <si>
    <t>Revenus exonérés d'impôt (DRD&amp;NID)</t>
  </si>
  <si>
    <t>EBIT ATAD</t>
  </si>
  <si>
    <t>Application de l'ATAD à AbInBev</t>
  </si>
  <si>
    <t>Dimitri Vitale</t>
  </si>
  <si>
    <t>N</t>
  </si>
  <si>
    <t>Coûts d'emprunt déductibles</t>
  </si>
  <si>
    <t>(Revenus d'intérêts déductibles)</t>
  </si>
  <si>
    <t xml:space="preserve">Résultat imposable avant impôt </t>
  </si>
  <si>
    <t>Amortissements et réductions de valeur</t>
  </si>
  <si>
    <t>(Revenus exonérés d'impôt)</t>
  </si>
  <si>
    <t>Taxes</t>
  </si>
  <si>
    <t>Surcoûts d'emprunt</t>
  </si>
  <si>
    <t>Résultat taxable avant la limitation</t>
  </si>
  <si>
    <t>Résultat taxable après la limitation</t>
  </si>
  <si>
    <t>Différence entre les ratios : 2%</t>
  </si>
  <si>
    <t>Ratio surcoûts vàv tiers/EBITDA du groupe</t>
  </si>
  <si>
    <t>Surcoûts d'emprunt vis-à-vis des tiers</t>
  </si>
  <si>
    <t xml:space="preserve">Déduction maximale autorisée </t>
  </si>
  <si>
    <t>N+1</t>
  </si>
  <si>
    <t>N+2</t>
  </si>
  <si>
    <t>N-1</t>
  </si>
  <si>
    <t>N-2</t>
  </si>
  <si>
    <t>OPTION 1 : CARRY FORWARD</t>
  </si>
  <si>
    <t>OPTION 2 : CARRY FORWARD + CARRY BACK</t>
  </si>
  <si>
    <t>OPTION 3 : CARRY FORWARD (surcoûts + capacité déductive)</t>
  </si>
  <si>
    <t>Déduction maximale autorisée reportée</t>
  </si>
  <si>
    <t xml:space="preserve">Charges d'intérêts non déductibles reportées en avant </t>
  </si>
  <si>
    <t xml:space="preserve">Charges d'intérêts non déductibles reportées en arrière </t>
  </si>
  <si>
    <t>Charges d'intérêts non déductibles reportées avant le report de déduction</t>
  </si>
  <si>
    <t>Charges d'intérêts non déductibles reportées après report de déduction</t>
  </si>
  <si>
    <t>(Revenus d'intérêts imposables)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</si>
</sst>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
  </numFmts>
  <fonts count="19" x14ac:knownFonts="1">
    <font>
      <sz val="11"/>
      <color theme="1"/>
      <name val="Calibri"/>
      <family val="2"/>
      <scheme val="minor"/>
    </font>
    <font>
      <sz val="11"/>
      <color theme="1"/>
      <name val="Calibri"/>
      <family val="2"/>
      <scheme val="minor"/>
    </font>
    <font>
      <b/>
      <sz val="14"/>
      <color rgb="FF000000"/>
      <name val="Calibri"/>
      <family val="2"/>
    </font>
    <font>
      <b/>
      <sz val="12"/>
      <color rgb="FF000000"/>
      <name val="Calibri"/>
      <family val="2"/>
    </font>
    <font>
      <b/>
      <sz val="12"/>
      <color rgb="FF000000"/>
      <name val="Calibri"/>
      <family val="2"/>
    </font>
    <font>
      <b/>
      <sz val="11"/>
      <name val="Calibri"/>
      <family val="2"/>
      <scheme val="minor"/>
    </font>
    <font>
      <sz val="12"/>
      <color rgb="FF000000"/>
      <name val="Calibri"/>
      <family val="2"/>
      <scheme val="minor"/>
    </font>
    <font>
      <b/>
      <sz val="12"/>
      <color rgb="FF000000"/>
      <name val="Calibri"/>
      <family val="2"/>
      <scheme val="minor"/>
    </font>
    <font>
      <b/>
      <sz val="14"/>
      <color rgb="FF000000"/>
      <name val="Calibri"/>
      <family val="2"/>
    </font>
    <font>
      <sz val="9"/>
      <color indexed="81"/>
      <name val="Tahoma"/>
      <family val="2"/>
    </font>
    <font>
      <b/>
      <sz val="9"/>
      <color indexed="81"/>
      <name val="Tahoma"/>
      <family val="2"/>
    </font>
    <font>
      <u/>
      <sz val="11"/>
      <color theme="10"/>
      <name val="Calibri"/>
      <family val="2"/>
      <scheme val="minor"/>
    </font>
    <font>
      <b/>
      <sz val="12"/>
      <name val="Calibri"/>
      <family val="2"/>
    </font>
    <font>
      <sz val="22"/>
      <color theme="1"/>
      <name val="Calibri"/>
      <family val="2"/>
      <scheme val="minor"/>
    </font>
    <font>
      <sz val="9"/>
      <color indexed="81"/>
      <name val="Tahoma"/>
      <charset val="1"/>
    </font>
    <font>
      <b/>
      <sz val="9"/>
      <color indexed="81"/>
      <name val="Tahoma"/>
      <charset val="1"/>
    </font>
    <font>
      <sz val="11"/>
      <color rgb="FF000000"/>
      <name val="Calibri"/>
      <family val="2"/>
    </font>
    <font>
      <b/>
      <sz val="11"/>
      <color rgb="FF000000"/>
      <name val="Calibri"/>
      <family val="2"/>
      <scheme val="minor"/>
    </font>
    <font>
      <sz val="11"/>
      <color rgb="FF000000"/>
      <name val="Calibri"/>
      <family val="2"/>
      <scheme val="minor"/>
    </font>
  </fonts>
  <fills count="13">
    <fill>
      <patternFill patternType="none"/>
    </fill>
    <fill>
      <patternFill patternType="gray125"/>
    </fill>
    <fill>
      <patternFill patternType="solid">
        <fgColor rgb="FFFFD966"/>
        <bgColor rgb="FFFFD966"/>
      </patternFill>
    </fill>
    <fill>
      <patternFill patternType="solid">
        <fgColor rgb="FFE5B8B7"/>
        <bgColor rgb="FFE5B8B7"/>
      </patternFill>
    </fill>
    <fill>
      <patternFill patternType="solid">
        <fgColor rgb="FFB8CCE4"/>
        <bgColor rgb="FFB8CCE4"/>
      </patternFill>
    </fill>
    <fill>
      <patternFill patternType="solid">
        <fgColor rgb="FFFF0000"/>
        <bgColor indexed="64"/>
      </patternFill>
    </fill>
    <fill>
      <patternFill patternType="solid">
        <fgColor rgb="FF00B050"/>
        <bgColor indexed="64"/>
      </patternFill>
    </fill>
    <fill>
      <patternFill patternType="solid">
        <fgColor theme="9"/>
        <bgColor indexed="64"/>
      </patternFill>
    </fill>
    <fill>
      <patternFill patternType="solid">
        <fgColor theme="0"/>
        <bgColor indexed="64"/>
      </patternFill>
    </fill>
    <fill>
      <patternFill patternType="solid">
        <fgColor theme="4" tint="0.79998168889431442"/>
        <bgColor rgb="FFB8CCE4"/>
      </patternFill>
    </fill>
    <fill>
      <patternFill patternType="solid">
        <fgColor theme="5" tint="0.79998168889431442"/>
        <bgColor rgb="FFE5B8B7"/>
      </patternFill>
    </fill>
    <fill>
      <patternFill patternType="solid">
        <fgColor rgb="FFFFFFCC"/>
        <bgColor indexed="64"/>
      </patternFill>
    </fill>
    <fill>
      <patternFill patternType="solid">
        <fgColor rgb="FFFFFF00"/>
        <bgColor indexed="64"/>
      </patternFill>
    </fill>
  </fills>
  <borders count="25">
    <border>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
      <left/>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indexed="64"/>
      </right>
      <top style="thin">
        <color rgb="FF000000"/>
      </top>
      <bottom style="thin">
        <color rgb="FF000000"/>
      </bottom>
      <diagonal/>
    </border>
    <border>
      <left style="thin">
        <color indexed="64"/>
      </left>
      <right/>
      <top style="thin">
        <color rgb="FF000000"/>
      </top>
      <bottom style="thin">
        <color rgb="FF000000"/>
      </bottom>
      <diagonal/>
    </border>
    <border>
      <left/>
      <right/>
      <top style="thin">
        <color rgb="FF000000"/>
      </top>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rgb="FF000000"/>
      </right>
      <top/>
      <bottom style="thin">
        <color rgb="FF000000"/>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s>
  <cellStyleXfs count="3">
    <xf numFmtId="0" fontId="0" fillId="0" borderId="0"/>
    <xf numFmtId="9" fontId="1" fillId="0" borderId="0" applyFont="0" applyFill="0" applyBorder="0" applyAlignment="0" applyProtection="0"/>
    <xf numFmtId="0" fontId="11" fillId="0" borderId="0" applyNumberFormat="0" applyFill="0" applyBorder="0" applyAlignment="0" applyProtection="0"/>
  </cellStyleXfs>
  <cellXfs count="91">
    <xf numFmtId="0" fontId="0" fillId="0" borderId="0" xfId="0"/>
    <xf numFmtId="0" fontId="2" fillId="2" borderId="1" xfId="0" applyFont="1" applyFill="1" applyBorder="1" applyAlignment="1">
      <alignment horizontal="center" vertical="center"/>
    </xf>
    <xf numFmtId="0" fontId="3" fillId="0" borderId="1" xfId="0" applyFont="1" applyBorder="1" applyAlignment="1">
      <alignment horizontal="center" vertical="center"/>
    </xf>
    <xf numFmtId="164" fontId="3" fillId="0" borderId="1" xfId="0" applyNumberFormat="1" applyFont="1" applyBorder="1" applyAlignment="1">
      <alignment horizontal="right"/>
    </xf>
    <xf numFmtId="0" fontId="5" fillId="4" borderId="1" xfId="0" applyFont="1" applyFill="1" applyBorder="1" applyAlignment="1"/>
    <xf numFmtId="0" fontId="6" fillId="0" borderId="1" xfId="0" applyFont="1" applyBorder="1"/>
    <xf numFmtId="0" fontId="6" fillId="0" borderId="1" xfId="0" applyFont="1" applyBorder="1" applyAlignment="1">
      <alignment wrapText="1"/>
    </xf>
    <xf numFmtId="0" fontId="7" fillId="3" borderId="1" xfId="0" applyFont="1" applyFill="1" applyBorder="1"/>
    <xf numFmtId="0" fontId="6" fillId="0" borderId="1" xfId="0" applyFont="1" applyBorder="1" applyAlignment="1"/>
    <xf numFmtId="164" fontId="4" fillId="0" borderId="1" xfId="0" applyNumberFormat="1" applyFont="1" applyBorder="1" applyAlignment="1">
      <alignment horizontal="right"/>
    </xf>
    <xf numFmtId="9" fontId="3" fillId="0" borderId="1" xfId="1" applyFont="1" applyBorder="1" applyAlignment="1">
      <alignment horizontal="right"/>
    </xf>
    <xf numFmtId="4" fontId="3" fillId="0" borderId="1" xfId="0" applyNumberFormat="1" applyFont="1" applyBorder="1" applyAlignment="1">
      <alignment horizontal="right"/>
    </xf>
    <xf numFmtId="0" fontId="8" fillId="2" borderId="3" xfId="0" applyFont="1" applyFill="1" applyBorder="1" applyAlignment="1">
      <alignment horizontal="center" vertical="center"/>
    </xf>
    <xf numFmtId="0" fontId="0" fillId="0" borderId="2" xfId="0" applyBorder="1"/>
    <xf numFmtId="0" fontId="11" fillId="0" borderId="0" xfId="2" quotePrefix="1"/>
    <xf numFmtId="0" fontId="11" fillId="0" borderId="0" xfId="2" quotePrefix="1" applyAlignment="1">
      <alignment wrapText="1"/>
    </xf>
    <xf numFmtId="0" fontId="3" fillId="0" borderId="0" xfId="0" applyFont="1" applyFill="1" applyBorder="1" applyAlignment="1">
      <alignment horizontal="center" vertical="center"/>
    </xf>
    <xf numFmtId="0" fontId="0" fillId="0" borderId="4" xfId="0" applyBorder="1"/>
    <xf numFmtId="0" fontId="0" fillId="0" borderId="5" xfId="0" applyBorder="1" applyAlignment="1">
      <alignment wrapText="1"/>
    </xf>
    <xf numFmtId="0" fontId="2" fillId="2" borderId="3" xfId="0" applyFont="1" applyFill="1" applyBorder="1" applyAlignment="1">
      <alignment horizontal="center" vertical="center"/>
    </xf>
    <xf numFmtId="0" fontId="0" fillId="0" borderId="2" xfId="0" applyBorder="1" applyAlignment="1"/>
    <xf numFmtId="0" fontId="11" fillId="0" borderId="0" xfId="2" applyAlignment="1">
      <alignment wrapText="1"/>
    </xf>
    <xf numFmtId="164" fontId="12" fillId="5" borderId="1" xfId="0" applyNumberFormat="1" applyFont="1" applyFill="1" applyBorder="1" applyAlignment="1">
      <alignment horizontal="right"/>
    </xf>
    <xf numFmtId="164" fontId="3" fillId="6" borderId="1" xfId="0" applyNumberFormat="1" applyFont="1" applyFill="1" applyBorder="1" applyAlignment="1">
      <alignment horizontal="right"/>
    </xf>
    <xf numFmtId="4" fontId="3" fillId="6" borderId="1" xfId="0" applyNumberFormat="1" applyFont="1" applyFill="1" applyBorder="1" applyAlignment="1">
      <alignment horizontal="right"/>
    </xf>
    <xf numFmtId="4" fontId="3" fillId="5" borderId="1" xfId="0" applyNumberFormat="1" applyFont="1" applyFill="1" applyBorder="1" applyAlignment="1">
      <alignment horizontal="right"/>
    </xf>
    <xf numFmtId="164" fontId="3" fillId="8" borderId="1" xfId="0" applyNumberFormat="1" applyFont="1" applyFill="1" applyBorder="1" applyAlignment="1">
      <alignment horizontal="right"/>
    </xf>
    <xf numFmtId="0" fontId="5" fillId="4" borderId="3" xfId="0" applyFont="1" applyFill="1" applyBorder="1" applyAlignment="1"/>
    <xf numFmtId="0" fontId="5" fillId="4" borderId="2" xfId="0" applyFont="1" applyFill="1" applyBorder="1" applyAlignment="1"/>
    <xf numFmtId="0" fontId="0" fillId="0" borderId="0" xfId="0" applyBorder="1"/>
    <xf numFmtId="0" fontId="0" fillId="0" borderId="0" xfId="0" applyFill="1" applyBorder="1" applyAlignment="1">
      <alignment wrapText="1"/>
    </xf>
    <xf numFmtId="0" fontId="0" fillId="0" borderId="6" xfId="0" applyBorder="1"/>
    <xf numFmtId="0" fontId="0" fillId="0" borderId="6" xfId="0" applyBorder="1" applyAlignment="1">
      <alignment wrapText="1"/>
    </xf>
    <xf numFmtId="0" fontId="5" fillId="4" borderId="8" xfId="0" applyFont="1" applyFill="1" applyBorder="1" applyAlignment="1">
      <alignment wrapText="1"/>
    </xf>
    <xf numFmtId="9" fontId="3" fillId="0" borderId="8" xfId="1" applyFont="1" applyBorder="1" applyAlignment="1">
      <alignment horizontal="right"/>
    </xf>
    <xf numFmtId="0" fontId="0" fillId="6" borderId="4" xfId="0" applyFill="1" applyBorder="1" applyAlignment="1">
      <alignment wrapText="1"/>
    </xf>
    <xf numFmtId="0" fontId="11" fillId="4" borderId="1" xfId="2" applyFill="1" applyBorder="1" applyAlignment="1"/>
    <xf numFmtId="0" fontId="13" fillId="7" borderId="0" xfId="0" applyFont="1" applyFill="1"/>
    <xf numFmtId="4" fontId="0" fillId="0" borderId="0" xfId="0" applyNumberFormat="1"/>
    <xf numFmtId="0" fontId="5" fillId="9" borderId="1" xfId="0" applyFont="1" applyFill="1" applyBorder="1" applyAlignment="1"/>
    <xf numFmtId="0" fontId="7" fillId="10" borderId="1" xfId="0" applyFont="1" applyFill="1" applyBorder="1"/>
    <xf numFmtId="4" fontId="3" fillId="8" borderId="1" xfId="0" applyNumberFormat="1" applyFont="1" applyFill="1" applyBorder="1" applyAlignment="1">
      <alignment horizontal="right"/>
    </xf>
    <xf numFmtId="164" fontId="3" fillId="5" borderId="1" xfId="0" applyNumberFormat="1" applyFont="1" applyFill="1" applyBorder="1" applyAlignment="1">
      <alignment horizontal="right"/>
    </xf>
    <xf numFmtId="164" fontId="3" fillId="12" borderId="1" xfId="0" applyNumberFormat="1" applyFont="1" applyFill="1" applyBorder="1" applyAlignment="1">
      <alignment horizontal="right"/>
    </xf>
    <xf numFmtId="0" fontId="2" fillId="2" borderId="2" xfId="0" applyFont="1" applyFill="1" applyBorder="1" applyAlignment="1">
      <alignment horizontal="center" vertical="center"/>
    </xf>
    <xf numFmtId="0" fontId="3" fillId="0" borderId="2" xfId="0" applyFont="1" applyBorder="1" applyAlignment="1">
      <alignment horizontal="center" vertical="center"/>
    </xf>
    <xf numFmtId="4" fontId="3" fillId="5" borderId="11" xfId="0" applyNumberFormat="1" applyFont="1" applyFill="1" applyBorder="1" applyAlignment="1">
      <alignment horizontal="right"/>
    </xf>
    <xf numFmtId="164" fontId="16" fillId="0" borderId="1" xfId="0" applyNumberFormat="1" applyFont="1" applyBorder="1" applyAlignment="1">
      <alignment horizontal="right"/>
    </xf>
    <xf numFmtId="164" fontId="16" fillId="8" borderId="1" xfId="0" applyNumberFormat="1" applyFont="1" applyFill="1" applyBorder="1" applyAlignment="1">
      <alignment horizontal="right"/>
    </xf>
    <xf numFmtId="9" fontId="16" fillId="0" borderId="1" xfId="1" applyFont="1" applyBorder="1" applyAlignment="1">
      <alignment horizontal="right"/>
    </xf>
    <xf numFmtId="164" fontId="16" fillId="8" borderId="12" xfId="0" applyNumberFormat="1" applyFont="1" applyFill="1" applyBorder="1" applyAlignment="1">
      <alignment horizontal="right"/>
    </xf>
    <xf numFmtId="0" fontId="17" fillId="10" borderId="2" xfId="0" applyFont="1" applyFill="1" applyBorder="1"/>
    <xf numFmtId="0" fontId="17" fillId="3" borderId="2" xfId="0" applyFont="1" applyFill="1" applyBorder="1"/>
    <xf numFmtId="0" fontId="18" fillId="0" borderId="1" xfId="0" applyFont="1" applyBorder="1"/>
    <xf numFmtId="0" fontId="18" fillId="0" borderId="1" xfId="0" applyFont="1" applyBorder="1" applyAlignment="1">
      <alignment wrapText="1"/>
    </xf>
    <xf numFmtId="0" fontId="17" fillId="3" borderId="1" xfId="0" applyFont="1" applyFill="1" applyBorder="1"/>
    <xf numFmtId="9" fontId="16" fillId="8" borderId="13" xfId="1" applyFont="1" applyFill="1" applyBorder="1" applyAlignment="1">
      <alignment horizontal="right"/>
    </xf>
    <xf numFmtId="9" fontId="3" fillId="8" borderId="3" xfId="1" applyFont="1" applyFill="1" applyBorder="1" applyAlignment="1">
      <alignment horizontal="right"/>
    </xf>
    <xf numFmtId="0" fontId="5" fillId="4" borderId="4" xfId="0" applyFont="1" applyFill="1" applyBorder="1" applyAlignment="1"/>
    <xf numFmtId="164" fontId="3" fillId="0" borderId="14" xfId="0" applyNumberFormat="1" applyFont="1" applyBorder="1" applyAlignment="1">
      <alignment horizontal="right"/>
    </xf>
    <xf numFmtId="0" fontId="18" fillId="0" borderId="8" xfId="0" applyFont="1" applyBorder="1"/>
    <xf numFmtId="164" fontId="16" fillId="8" borderId="15" xfId="0" applyNumberFormat="1" applyFont="1" applyFill="1" applyBorder="1" applyAlignment="1">
      <alignment horizontal="right"/>
    </xf>
    <xf numFmtId="9" fontId="16" fillId="8" borderId="1" xfId="1" applyFont="1" applyFill="1" applyBorder="1" applyAlignment="1">
      <alignment horizontal="right"/>
    </xf>
    <xf numFmtId="164" fontId="16" fillId="8" borderId="2" xfId="0" applyNumberFormat="1" applyFont="1" applyFill="1" applyBorder="1" applyAlignment="1">
      <alignment horizontal="right"/>
    </xf>
    <xf numFmtId="164" fontId="16" fillId="0" borderId="2" xfId="0" applyNumberFormat="1" applyFont="1" applyBorder="1" applyAlignment="1">
      <alignment horizontal="right"/>
    </xf>
    <xf numFmtId="0" fontId="18" fillId="0" borderId="2" xfId="0" applyFont="1" applyBorder="1" applyAlignment="1">
      <alignment wrapText="1"/>
    </xf>
    <xf numFmtId="9" fontId="16" fillId="0" borderId="2" xfId="1" applyFont="1" applyBorder="1" applyAlignment="1">
      <alignment horizontal="right"/>
    </xf>
    <xf numFmtId="0" fontId="5" fillId="4" borderId="2" xfId="0" applyFont="1" applyFill="1" applyBorder="1" applyAlignment="1">
      <alignment wrapText="1"/>
    </xf>
    <xf numFmtId="9" fontId="16" fillId="8" borderId="2" xfId="1" applyFont="1" applyFill="1" applyBorder="1" applyAlignment="1">
      <alignment horizontal="right"/>
    </xf>
    <xf numFmtId="9" fontId="3" fillId="0" borderId="2" xfId="1" applyFont="1" applyBorder="1" applyAlignment="1">
      <alignment horizontal="right"/>
    </xf>
    <xf numFmtId="164" fontId="12" fillId="5" borderId="2" xfId="0" applyNumberFormat="1" applyFont="1" applyFill="1" applyBorder="1" applyAlignment="1">
      <alignment horizontal="right"/>
    </xf>
    <xf numFmtId="4" fontId="0" fillId="0" borderId="2" xfId="0" applyNumberFormat="1" applyBorder="1"/>
    <xf numFmtId="164" fontId="3" fillId="5" borderId="2" xfId="0" applyNumberFormat="1" applyFont="1" applyFill="1" applyBorder="1" applyAlignment="1">
      <alignment horizontal="right"/>
    </xf>
    <xf numFmtId="4" fontId="3" fillId="11" borderId="21" xfId="0" applyNumberFormat="1" applyFont="1" applyFill="1" applyBorder="1" applyAlignment="1">
      <alignment vertical="center"/>
    </xf>
    <xf numFmtId="4" fontId="3" fillId="11" borderId="22" xfId="0" applyNumberFormat="1" applyFont="1" applyFill="1" applyBorder="1" applyAlignment="1">
      <alignment vertical="center"/>
    </xf>
    <xf numFmtId="0" fontId="0" fillId="0" borderId="0" xfId="0" applyBorder="1" applyAlignment="1">
      <alignment horizontal="center"/>
    </xf>
    <xf numFmtId="0" fontId="0" fillId="0" borderId="11" xfId="0" applyBorder="1" applyAlignment="1">
      <alignment horizontal="center"/>
    </xf>
    <xf numFmtId="4" fontId="3" fillId="11" borderId="10" xfId="0" applyNumberFormat="1" applyFont="1" applyFill="1" applyBorder="1" applyAlignment="1">
      <alignment horizontal="center" vertical="center"/>
    </xf>
    <xf numFmtId="4" fontId="3" fillId="11" borderId="7" xfId="0" applyNumberFormat="1" applyFont="1" applyFill="1" applyBorder="1" applyAlignment="1">
      <alignment horizontal="center" vertical="center"/>
    </xf>
    <xf numFmtId="4" fontId="3" fillId="11" borderId="2" xfId="0" applyNumberFormat="1" applyFont="1" applyFill="1" applyBorder="1" applyAlignment="1">
      <alignment horizontal="center" vertical="center"/>
    </xf>
    <xf numFmtId="4" fontId="3" fillId="11" borderId="9" xfId="0" applyNumberFormat="1" applyFont="1" applyFill="1" applyBorder="1" applyAlignment="1">
      <alignment horizontal="center" vertical="center"/>
    </xf>
    <xf numFmtId="0" fontId="18" fillId="8" borderId="19" xfId="0" applyFont="1" applyFill="1" applyBorder="1" applyAlignment="1">
      <alignment horizontal="center" wrapText="1"/>
    </xf>
    <xf numFmtId="0" fontId="18" fillId="8" borderId="20" xfId="0" applyFont="1" applyFill="1" applyBorder="1" applyAlignment="1">
      <alignment horizontal="center" wrapText="1"/>
    </xf>
    <xf numFmtId="0" fontId="18" fillId="8" borderId="23" xfId="0" applyFont="1" applyFill="1" applyBorder="1" applyAlignment="1">
      <alignment horizontal="center" wrapText="1"/>
    </xf>
    <xf numFmtId="0" fontId="18" fillId="8" borderId="24" xfId="0" applyFont="1" applyFill="1" applyBorder="1" applyAlignment="1">
      <alignment horizontal="center" wrapText="1"/>
    </xf>
    <xf numFmtId="0" fontId="18" fillId="8" borderId="16" xfId="0" applyFont="1" applyFill="1" applyBorder="1" applyAlignment="1">
      <alignment horizontal="center" wrapText="1"/>
    </xf>
    <xf numFmtId="0" fontId="18" fillId="8" borderId="18" xfId="0" applyFont="1" applyFill="1" applyBorder="1" applyAlignment="1">
      <alignment horizontal="center" wrapText="1"/>
    </xf>
    <xf numFmtId="4" fontId="3" fillId="11" borderId="16" xfId="0" applyNumberFormat="1" applyFont="1" applyFill="1" applyBorder="1" applyAlignment="1">
      <alignment horizontal="center" vertical="center"/>
    </xf>
    <xf numFmtId="4" fontId="3" fillId="11" borderId="17" xfId="0" applyNumberFormat="1" applyFont="1" applyFill="1" applyBorder="1" applyAlignment="1">
      <alignment horizontal="center" vertical="center"/>
    </xf>
    <xf numFmtId="4" fontId="3" fillId="11" borderId="18" xfId="0" applyNumberFormat="1" applyFont="1" applyFill="1" applyBorder="1" applyAlignment="1">
      <alignment horizontal="center" vertical="center"/>
    </xf>
    <xf numFmtId="0" fontId="0" fillId="0" borderId="2" xfId="0" applyBorder="1" applyAlignment="1">
      <alignment horizontal="center"/>
    </xf>
  </cellXfs>
  <cellStyles count="3">
    <cellStyle name="Lien hypertexte" xfId="2" builtinId="8"/>
    <cellStyle name="Normal" xfId="0" builtinId="0"/>
    <cellStyle name="Pourcentage" xfId="1" builtinId="5"/>
  </cellStyles>
  <dxfs count="0"/>
  <tableStyles count="0" defaultTableStyle="TableStyleMedium2" defaultPivotStyle="PivotStyleLight16"/>
  <colors>
    <mruColors>
      <color rgb="FFFFFFCC"/>
      <color rgb="FFDDDDD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142875</xdr:rowOff>
    </xdr:from>
    <xdr:to>
      <xdr:col>0</xdr:col>
      <xdr:colOff>3052763</xdr:colOff>
      <xdr:row>19</xdr:row>
      <xdr:rowOff>152643</xdr:rowOff>
    </xdr:to>
    <xdr:pic>
      <xdr:nvPicPr>
        <xdr:cNvPr id="2" name="Image 1"/>
        <xdr:cNvPicPr>
          <a:picLocks noChangeAspect="1"/>
        </xdr:cNvPicPr>
      </xdr:nvPicPr>
      <xdr:blipFill>
        <a:blip xmlns:r="http://schemas.openxmlformats.org/officeDocument/2006/relationships" r:embed="rId1"/>
        <a:stretch>
          <a:fillRect/>
        </a:stretch>
      </xdr:blipFill>
      <xdr:spPr>
        <a:xfrm>
          <a:off x="0" y="381000"/>
          <a:ext cx="3052763" cy="3438768"/>
        </a:xfrm>
        <a:prstGeom prst="rect">
          <a:avLst/>
        </a:prstGeom>
      </xdr:spPr>
    </xdr:pic>
    <xdr:clientData/>
  </xdr:twoCellAnchor>
  <xdr:twoCellAnchor editAs="oneCell">
    <xdr:from>
      <xdr:col>1</xdr:col>
      <xdr:colOff>695325</xdr:colOff>
      <xdr:row>1</xdr:row>
      <xdr:rowOff>1</xdr:rowOff>
    </xdr:from>
    <xdr:to>
      <xdr:col>5</xdr:col>
      <xdr:colOff>608188</xdr:colOff>
      <xdr:row>19</xdr:row>
      <xdr:rowOff>95251</xdr:rowOff>
    </xdr:to>
    <xdr:pic>
      <xdr:nvPicPr>
        <xdr:cNvPr id="3" name="Image 2"/>
        <xdr:cNvPicPr>
          <a:picLocks noChangeAspect="1"/>
        </xdr:cNvPicPr>
      </xdr:nvPicPr>
      <xdr:blipFill>
        <a:blip xmlns:r="http://schemas.openxmlformats.org/officeDocument/2006/relationships" r:embed="rId2"/>
        <a:stretch>
          <a:fillRect/>
        </a:stretch>
      </xdr:blipFill>
      <xdr:spPr>
        <a:xfrm>
          <a:off x="8048625" y="238126"/>
          <a:ext cx="4646789" cy="3524250"/>
        </a:xfrm>
        <a:prstGeom prst="rect">
          <a:avLst/>
        </a:prstGeom>
      </xdr:spPr>
    </xdr:pic>
    <xdr:clientData/>
  </xdr:twoCellAnchor>
  <xdr:twoCellAnchor editAs="oneCell">
    <xdr:from>
      <xdr:col>0</xdr:col>
      <xdr:colOff>0</xdr:colOff>
      <xdr:row>22</xdr:row>
      <xdr:rowOff>0</xdr:rowOff>
    </xdr:from>
    <xdr:to>
      <xdr:col>1</xdr:col>
      <xdr:colOff>418560</xdr:colOff>
      <xdr:row>28</xdr:row>
      <xdr:rowOff>66524</xdr:rowOff>
    </xdr:to>
    <xdr:pic>
      <xdr:nvPicPr>
        <xdr:cNvPr id="4" name="Image 3"/>
        <xdr:cNvPicPr>
          <a:picLocks noChangeAspect="1"/>
        </xdr:cNvPicPr>
      </xdr:nvPicPr>
      <xdr:blipFill>
        <a:blip xmlns:r="http://schemas.openxmlformats.org/officeDocument/2006/relationships" r:embed="rId3"/>
        <a:stretch>
          <a:fillRect/>
        </a:stretch>
      </xdr:blipFill>
      <xdr:spPr>
        <a:xfrm>
          <a:off x="0" y="4238625"/>
          <a:ext cx="4323810" cy="1209524"/>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
  <sheetViews>
    <sheetView workbookViewId="0">
      <selection activeCell="B11" sqref="B11"/>
    </sheetView>
  </sheetViews>
  <sheetFormatPr baseColWidth="10" defaultRowHeight="15" x14ac:dyDescent="0.25"/>
  <cols>
    <col min="1" max="1" width="57.140625" bestFit="1" customWidth="1"/>
    <col min="2" max="2" width="11.42578125" customWidth="1"/>
  </cols>
  <sheetData>
    <row r="1" spans="1:1" ht="28.5" x14ac:dyDescent="0.45">
      <c r="A1" s="37" t="s">
        <v>58</v>
      </c>
    </row>
    <row r="2" spans="1:1" ht="28.5" x14ac:dyDescent="0.45">
      <c r="A2" s="37" t="s">
        <v>59</v>
      </c>
    </row>
    <row r="3" spans="1:1" ht="18.75" x14ac:dyDescent="0.25">
      <c r="A3" s="1" t="s">
        <v>22</v>
      </c>
    </row>
    <row r="4" spans="1:1" x14ac:dyDescent="0.25">
      <c r="A4" s="36" t="s">
        <v>51</v>
      </c>
    </row>
    <row r="5" spans="1:1" x14ac:dyDescent="0.25">
      <c r="A5" s="4" t="s">
        <v>20</v>
      </c>
    </row>
    <row r="6" spans="1:1" ht="30" x14ac:dyDescent="0.25">
      <c r="A6" s="15" t="s">
        <v>39</v>
      </c>
    </row>
    <row r="7" spans="1:1" x14ac:dyDescent="0.25">
      <c r="A7" s="14" t="s">
        <v>40</v>
      </c>
    </row>
    <row r="9" spans="1:1" x14ac:dyDescent="0.25">
      <c r="A9" s="4" t="s">
        <v>21</v>
      </c>
    </row>
    <row r="10" spans="1:1" x14ac:dyDescent="0.25">
      <c r="A10" s="14" t="s">
        <v>24</v>
      </c>
    </row>
    <row r="11" spans="1:1" x14ac:dyDescent="0.25">
      <c r="A11" s="15" t="s">
        <v>29</v>
      </c>
    </row>
    <row r="12" spans="1:1" ht="30" x14ac:dyDescent="0.25">
      <c r="A12" s="21" t="s">
        <v>30</v>
      </c>
    </row>
  </sheetData>
  <hyperlinks>
    <hyperlink ref="A6" location="'1)Règles de base - 30% et 3M'!A1" display="1)Calcul règles de base : les 30% de l'EBITDA et la limite des 3 millions"/>
    <hyperlink ref="A10" location="'2) Report'!A1" display="2) Exception de report"/>
    <hyperlink ref="A11" location="'3) Consolidation - EBITDA'!A1" display="3) Exception du groupe : ratio intérêts/EBITDA"/>
    <hyperlink ref="A12" location="'3) Conso compt - equity escape'!A1" display="3) Exception du groupe : Fonds propres sur Actif (equity escape)"/>
    <hyperlink ref="A7" location="'1)bis - 30% du groupe'!A1" display="1)bis Règles de base - 30% du groupe"/>
    <hyperlink ref="A4" location="Données!A1" display="Données"/>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
  <sheetViews>
    <sheetView zoomScale="80" zoomScaleNormal="80" workbookViewId="0">
      <selection activeCell="C26" sqref="C26"/>
    </sheetView>
  </sheetViews>
  <sheetFormatPr baseColWidth="10" defaultRowHeight="15" x14ac:dyDescent="0.25"/>
  <cols>
    <col min="1" max="1" width="58.5703125" bestFit="1" customWidth="1"/>
    <col min="3" max="3" width="36.7109375" bestFit="1" customWidth="1"/>
    <col min="8" max="8" width="27.28515625" bestFit="1" customWidth="1"/>
  </cols>
  <sheetData>
    <row r="1" spans="1:8" ht="18.75" x14ac:dyDescent="0.25">
      <c r="A1" s="1" t="s">
        <v>54</v>
      </c>
      <c r="C1" s="1" t="s">
        <v>23</v>
      </c>
      <c r="H1" s="1" t="s">
        <v>50</v>
      </c>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32"/>
  <sheetViews>
    <sheetView tabSelected="1" zoomScale="82" zoomScaleNormal="82" workbookViewId="0">
      <selection activeCell="A21" sqref="A21:B32"/>
    </sheetView>
  </sheetViews>
  <sheetFormatPr baseColWidth="10" defaultRowHeight="15" x14ac:dyDescent="0.25"/>
  <cols>
    <col min="1" max="1" width="58.7109375" customWidth="1"/>
    <col min="2" max="2" width="19.5703125" bestFit="1" customWidth="1"/>
    <col min="3" max="4" width="20.28515625" hidden="1" customWidth="1"/>
    <col min="6" max="6" width="38" bestFit="1" customWidth="1"/>
  </cols>
  <sheetData>
    <row r="1" spans="1:8" ht="18.75" x14ac:dyDescent="0.25">
      <c r="A1" s="44" t="s">
        <v>0</v>
      </c>
      <c r="B1" s="45" t="s">
        <v>60</v>
      </c>
      <c r="C1" s="45">
        <v>2014</v>
      </c>
      <c r="D1" s="45">
        <v>2015</v>
      </c>
      <c r="F1" s="12" t="s">
        <v>17</v>
      </c>
      <c r="H1" s="19" t="s">
        <v>27</v>
      </c>
    </row>
    <row r="2" spans="1:8" ht="15.75" x14ac:dyDescent="0.25">
      <c r="A2" s="53" t="s">
        <v>61</v>
      </c>
      <c r="B2" s="47">
        <v>9000000</v>
      </c>
      <c r="C2" s="9">
        <v>-3186863787</v>
      </c>
      <c r="D2" s="3">
        <v>-2234056601</v>
      </c>
      <c r="F2" s="35"/>
      <c r="H2" s="13" t="s">
        <v>28</v>
      </c>
    </row>
    <row r="3" spans="1:8" ht="15.75" x14ac:dyDescent="0.25">
      <c r="A3" s="53" t="s">
        <v>86</v>
      </c>
      <c r="B3" s="47">
        <v>-1000000</v>
      </c>
      <c r="C3" s="3">
        <v>727699015</v>
      </c>
      <c r="D3" s="3">
        <v>808580436</v>
      </c>
    </row>
    <row r="4" spans="1:8" ht="15.75" x14ac:dyDescent="0.25">
      <c r="A4" s="4" t="s">
        <v>67</v>
      </c>
      <c r="B4" s="48">
        <f>IF(SUM(B3+B2)&lt;0,0,SUM(B3+B2))</f>
        <v>8000000</v>
      </c>
      <c r="C4" s="26">
        <f t="shared" ref="C4:D4" si="0">IF(SUM(C3+C2)&lt;0,0,SUM(C3+C2))</f>
        <v>0</v>
      </c>
      <c r="D4" s="26">
        <f t="shared" si="0"/>
        <v>0</v>
      </c>
    </row>
    <row r="5" spans="1:8" ht="15.75" x14ac:dyDescent="0.25">
      <c r="A5" s="54" t="s">
        <v>63</v>
      </c>
      <c r="B5" s="47">
        <v>20000000</v>
      </c>
      <c r="C5" s="3">
        <v>84156387</v>
      </c>
      <c r="D5" s="3">
        <v>90329754</v>
      </c>
    </row>
    <row r="6" spans="1:8" ht="15.75" x14ac:dyDescent="0.25">
      <c r="A6" s="54" t="s">
        <v>64</v>
      </c>
      <c r="B6" s="47">
        <v>2000000</v>
      </c>
      <c r="C6" s="3"/>
      <c r="D6" s="3">
        <v>16047</v>
      </c>
    </row>
    <row r="7" spans="1:8" ht="15.75" x14ac:dyDescent="0.25">
      <c r="A7" s="54" t="s">
        <v>66</v>
      </c>
      <c r="B7" s="47">
        <v>1000000</v>
      </c>
      <c r="C7" s="3">
        <v>0</v>
      </c>
      <c r="D7" s="3">
        <v>0</v>
      </c>
    </row>
    <row r="8" spans="1:8" ht="15.75" x14ac:dyDescent="0.25">
      <c r="A8" s="54" t="s">
        <v>65</v>
      </c>
      <c r="B8" s="47">
        <v>-15000000</v>
      </c>
      <c r="C8" s="9"/>
      <c r="D8" s="9"/>
    </row>
    <row r="9" spans="1:8" ht="15.75" x14ac:dyDescent="0.25">
      <c r="A9" s="4" t="s">
        <v>52</v>
      </c>
      <c r="B9" s="47">
        <f>SUM(B4:B8)</f>
        <v>16000000</v>
      </c>
      <c r="C9" s="3">
        <f>SUM(C4:C7)</f>
        <v>84156387</v>
      </c>
      <c r="D9" s="3">
        <f>SUM(D4:D7)</f>
        <v>90345801</v>
      </c>
    </row>
    <row r="10" spans="1:8" ht="15.75" x14ac:dyDescent="0.25">
      <c r="A10" s="54" t="s">
        <v>3</v>
      </c>
      <c r="B10" s="49">
        <v>0.3</v>
      </c>
      <c r="C10" s="10">
        <v>0.3</v>
      </c>
      <c r="D10" s="10">
        <v>0.3</v>
      </c>
    </row>
    <row r="11" spans="1:8" ht="15.75" x14ac:dyDescent="0.25">
      <c r="A11" s="27" t="s">
        <v>13</v>
      </c>
      <c r="B11" s="48">
        <f>IF(B9*B10&lt;0,0,B9*B10)</f>
        <v>4800000</v>
      </c>
      <c r="C11" s="26" t="e">
        <f>IF(#REF!*C10&lt;0,0,#REF!*C10)</f>
        <v>#REF!</v>
      </c>
      <c r="D11" s="26" t="e">
        <f>IF(#REF!*D10&lt;0,0,#REF!*D10)</f>
        <v>#REF!</v>
      </c>
    </row>
    <row r="12" spans="1:8" ht="15.75" x14ac:dyDescent="0.25">
      <c r="A12" s="51" t="s">
        <v>14</v>
      </c>
      <c r="B12" s="50">
        <f>IF(B11-B4&gt;0,0,-(B11-B4))</f>
        <v>3200000</v>
      </c>
      <c r="C12" s="25" t="e">
        <f>IF(C11-#REF!&gt;0,0,-(C11-#REF!))</f>
        <v>#REF!</v>
      </c>
      <c r="D12" s="25" t="e">
        <f>IF(D11-#REF!&gt;0,0,-(D11-#REF!))</f>
        <v>#REF!</v>
      </c>
    </row>
    <row r="13" spans="1:8" ht="15.75" hidden="1" x14ac:dyDescent="0.25">
      <c r="A13" s="52" t="s">
        <v>68</v>
      </c>
      <c r="B13" s="50">
        <f>B7+B4</f>
        <v>9000000</v>
      </c>
      <c r="C13" s="46"/>
      <c r="D13" s="46"/>
    </row>
    <row r="14" spans="1:8" ht="15.75" hidden="1" x14ac:dyDescent="0.25">
      <c r="A14" s="52" t="s">
        <v>69</v>
      </c>
      <c r="B14" s="50">
        <f>B7+B4+B12</f>
        <v>12200000</v>
      </c>
      <c r="C14" s="46"/>
      <c r="D14" s="46"/>
    </row>
    <row r="15" spans="1:8" x14ac:dyDescent="0.25">
      <c r="A15" s="75" t="s">
        <v>49</v>
      </c>
      <c r="B15" s="76"/>
      <c r="C15" s="76"/>
      <c r="D15" s="76"/>
      <c r="H15">
        <v>10000000</v>
      </c>
    </row>
    <row r="16" spans="1:8" ht="15.75" x14ac:dyDescent="0.25">
      <c r="A16" s="4" t="s">
        <v>57</v>
      </c>
      <c r="B16" s="3" t="e">
        <f>B4+#REF!+#REF!</f>
        <v>#REF!</v>
      </c>
      <c r="C16" s="3" t="e">
        <f>C4+#REF!+#REF!</f>
        <v>#REF!</v>
      </c>
      <c r="D16" s="3" t="e">
        <f>D4+#REF!+#REF!</f>
        <v>#REF!</v>
      </c>
    </row>
    <row r="17" spans="1:4" ht="15.75" x14ac:dyDescent="0.25">
      <c r="A17" s="6" t="s">
        <v>3</v>
      </c>
      <c r="B17" s="10">
        <v>0.3</v>
      </c>
      <c r="C17" s="10">
        <v>0.3</v>
      </c>
      <c r="D17" s="10">
        <v>0.3</v>
      </c>
    </row>
    <row r="18" spans="1:4" ht="15.75" x14ac:dyDescent="0.25">
      <c r="A18" s="4" t="s">
        <v>13</v>
      </c>
      <c r="B18" s="26" t="e">
        <f t="shared" ref="B18:D18" si="1">IF(B16*B17&lt;0,0,B16*B17)</f>
        <v>#REF!</v>
      </c>
      <c r="C18" s="26" t="e">
        <f t="shared" si="1"/>
        <v>#REF!</v>
      </c>
      <c r="D18" s="26" t="e">
        <f t="shared" si="1"/>
        <v>#REF!</v>
      </c>
    </row>
    <row r="19" spans="1:4" ht="15.75" x14ac:dyDescent="0.25">
      <c r="A19" s="7" t="s">
        <v>14</v>
      </c>
      <c r="B19" s="25" t="e">
        <f>IF(B18-#REF!&gt;0,0,-(B18-#REF!))</f>
        <v>#REF!</v>
      </c>
      <c r="C19" s="25" t="e">
        <f>IF(C18-#REF!&gt;0,0,-(C18-#REF!))</f>
        <v>#REF!</v>
      </c>
      <c r="D19" s="25" t="e">
        <f>IF(D18-#REF!&gt;0,0,-(D18-#REF!))</f>
        <v>#REF!</v>
      </c>
    </row>
    <row r="21" spans="1:4" ht="18.75" x14ac:dyDescent="0.25">
      <c r="A21" s="44" t="s">
        <v>0</v>
      </c>
      <c r="B21" s="45" t="s">
        <v>60</v>
      </c>
    </row>
    <row r="22" spans="1:4" x14ac:dyDescent="0.25">
      <c r="A22" s="53" t="s">
        <v>61</v>
      </c>
      <c r="B22" s="47">
        <v>4000000</v>
      </c>
    </row>
    <row r="23" spans="1:4" x14ac:dyDescent="0.25">
      <c r="A23" s="53" t="s">
        <v>86</v>
      </c>
      <c r="B23" s="47">
        <v>-1000000</v>
      </c>
    </row>
    <row r="24" spans="1:4" x14ac:dyDescent="0.25">
      <c r="A24" s="4" t="s">
        <v>67</v>
      </c>
      <c r="B24" s="48">
        <f>IF(SUM(B23+B22)&lt;0,0,SUM(B23+B22))</f>
        <v>3000000</v>
      </c>
    </row>
    <row r="25" spans="1:4" x14ac:dyDescent="0.25">
      <c r="A25" s="54" t="s">
        <v>63</v>
      </c>
      <c r="B25" s="47">
        <v>10000000</v>
      </c>
    </row>
    <row r="26" spans="1:4" x14ac:dyDescent="0.25">
      <c r="A26" s="54" t="s">
        <v>64</v>
      </c>
      <c r="B26" s="47">
        <v>2000000</v>
      </c>
    </row>
    <row r="27" spans="1:4" x14ac:dyDescent="0.25">
      <c r="A27" s="54" t="s">
        <v>66</v>
      </c>
      <c r="B27" s="47">
        <v>1000000</v>
      </c>
    </row>
    <row r="28" spans="1:4" x14ac:dyDescent="0.25">
      <c r="A28" s="54" t="s">
        <v>65</v>
      </c>
      <c r="B28" s="47">
        <v>-15000000</v>
      </c>
    </row>
    <row r="29" spans="1:4" x14ac:dyDescent="0.25">
      <c r="A29" s="4" t="s">
        <v>52</v>
      </c>
      <c r="B29" s="47">
        <f>SUM(B24:B28)</f>
        <v>1000000</v>
      </c>
    </row>
    <row r="30" spans="1:4" x14ac:dyDescent="0.25">
      <c r="A30" s="54" t="s">
        <v>3</v>
      </c>
      <c r="B30" s="49">
        <v>0.3</v>
      </c>
    </row>
    <row r="31" spans="1:4" x14ac:dyDescent="0.25">
      <c r="A31" s="27" t="s">
        <v>13</v>
      </c>
      <c r="B31" s="48">
        <f>IF(B29*B30&lt;0,0,B29*B30)</f>
        <v>300000</v>
      </c>
    </row>
    <row r="32" spans="1:4" x14ac:dyDescent="0.25">
      <c r="A32" s="51" t="s">
        <v>14</v>
      </c>
      <c r="B32" s="50">
        <f>IF(B31-B24&gt;0,0,-(B31-B24))</f>
        <v>2700000</v>
      </c>
    </row>
  </sheetData>
  <mergeCells count="1">
    <mergeCell ref="A15:D15"/>
  </mergeCells>
  <pageMargins left="0.7" right="0.7" top="0.75" bottom="0.75" header="0.3" footer="0.3"/>
  <pageSetup paperSize="9" orientation="portrait" verticalDpi="0"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23"/>
  <sheetViews>
    <sheetView zoomScale="69" zoomScaleNormal="69" workbookViewId="0">
      <selection activeCell="A47" sqref="A47"/>
    </sheetView>
  </sheetViews>
  <sheetFormatPr baseColWidth="10" defaultRowHeight="15" x14ac:dyDescent="0.25"/>
  <cols>
    <col min="1" max="1" width="93.140625" bestFit="1" customWidth="1"/>
    <col min="2" max="4" width="20.28515625" bestFit="1" customWidth="1"/>
    <col min="5" max="5" width="37.85546875" customWidth="1"/>
    <col min="6" max="8" width="20.28515625" bestFit="1" customWidth="1"/>
    <col min="10" max="10" width="70.140625" bestFit="1" customWidth="1"/>
  </cols>
  <sheetData>
    <row r="1" spans="1:10" ht="18.75" x14ac:dyDescent="0.25">
      <c r="A1" s="1" t="s">
        <v>0</v>
      </c>
      <c r="B1" s="2">
        <v>2013</v>
      </c>
      <c r="C1" s="2">
        <v>2014</v>
      </c>
      <c r="D1" s="2">
        <v>2015</v>
      </c>
      <c r="E1" s="1" t="s">
        <v>25</v>
      </c>
      <c r="F1" s="2">
        <v>2013</v>
      </c>
      <c r="G1" s="2">
        <v>2014</v>
      </c>
      <c r="H1" s="2">
        <v>2015</v>
      </c>
      <c r="I1" s="16"/>
      <c r="J1" s="12" t="s">
        <v>18</v>
      </c>
    </row>
    <row r="2" spans="1:10" ht="15.75" x14ac:dyDescent="0.25">
      <c r="A2" s="4" t="s">
        <v>10</v>
      </c>
      <c r="B2" s="3">
        <v>1748957436</v>
      </c>
      <c r="C2" s="3">
        <v>1674655942</v>
      </c>
      <c r="D2" s="3">
        <v>924636826</v>
      </c>
      <c r="F2" s="3">
        <v>18534000000</v>
      </c>
      <c r="G2" s="3">
        <v>11302000000</v>
      </c>
      <c r="H2" s="3">
        <v>9867000000</v>
      </c>
      <c r="J2" s="17" t="s">
        <v>42</v>
      </c>
    </row>
    <row r="3" spans="1:10" ht="15.75" hidden="1" x14ac:dyDescent="0.25">
      <c r="A3" s="5" t="s">
        <v>16</v>
      </c>
      <c r="B3" s="9">
        <v>-1841075304</v>
      </c>
      <c r="C3" s="9">
        <v>-3186863787</v>
      </c>
      <c r="D3" s="3">
        <v>-2234056601</v>
      </c>
      <c r="F3" s="3">
        <v>-286000000</v>
      </c>
      <c r="G3" s="3">
        <v>-335000000</v>
      </c>
      <c r="H3" s="3">
        <v>-339000000</v>
      </c>
      <c r="J3" s="17" t="s">
        <v>44</v>
      </c>
    </row>
    <row r="4" spans="1:10" ht="30" hidden="1" x14ac:dyDescent="0.25">
      <c r="A4" s="5" t="s">
        <v>55</v>
      </c>
      <c r="B4" s="3">
        <v>-205247287</v>
      </c>
      <c r="C4" s="3">
        <v>-322419089</v>
      </c>
      <c r="D4" s="3">
        <v>-392501538</v>
      </c>
      <c r="F4" s="3"/>
      <c r="G4" s="3"/>
      <c r="H4" s="3"/>
      <c r="J4" s="18" t="s">
        <v>43</v>
      </c>
    </row>
    <row r="5" spans="1:10" ht="15.75" hidden="1" x14ac:dyDescent="0.25">
      <c r="A5" s="5" t="s">
        <v>11</v>
      </c>
      <c r="B5" s="9">
        <v>-1337013700</v>
      </c>
      <c r="C5" s="9">
        <v>-2326852138</v>
      </c>
      <c r="D5" s="9">
        <v>-4705785370</v>
      </c>
      <c r="F5" s="3">
        <f>945000000-F3</f>
        <v>1231000000</v>
      </c>
      <c r="G5" s="3">
        <f>-1478000000-G3</f>
        <v>-1143000000</v>
      </c>
      <c r="H5" s="3">
        <f>-1689000000-H3</f>
        <v>-1350000000</v>
      </c>
      <c r="J5" s="31"/>
    </row>
    <row r="6" spans="1:10" ht="15.75" hidden="1" x14ac:dyDescent="0.25">
      <c r="A6" s="5" t="s">
        <v>4</v>
      </c>
      <c r="B6" s="3">
        <v>547895419</v>
      </c>
      <c r="C6" s="3">
        <v>727699015</v>
      </c>
      <c r="D6" s="3">
        <v>808580436</v>
      </c>
      <c r="F6" s="3">
        <v>2043000000</v>
      </c>
      <c r="G6" s="3">
        <v>2008000000</v>
      </c>
      <c r="H6" s="3">
        <v>1833000000</v>
      </c>
    </row>
    <row r="7" spans="1:10" ht="15.75" hidden="1" x14ac:dyDescent="0.25">
      <c r="A7" s="8" t="s">
        <v>5</v>
      </c>
      <c r="B7" s="3">
        <v>0</v>
      </c>
      <c r="C7" s="3">
        <v>0</v>
      </c>
      <c r="D7" s="3">
        <v>0</v>
      </c>
      <c r="F7" s="3"/>
      <c r="G7" s="3"/>
      <c r="H7" s="3"/>
    </row>
    <row r="8" spans="1:10" ht="15.75" hidden="1" x14ac:dyDescent="0.25">
      <c r="A8" s="5" t="s">
        <v>6</v>
      </c>
      <c r="B8" s="3">
        <v>1418662884</v>
      </c>
      <c r="C8" s="3">
        <v>3022528236</v>
      </c>
      <c r="D8" s="3">
        <v>5634400989</v>
      </c>
      <c r="F8" s="3">
        <f>3148000000-F6</f>
        <v>1105000000</v>
      </c>
      <c r="G8" s="3">
        <f>2791000000-G6</f>
        <v>783000000</v>
      </c>
      <c r="H8" s="3">
        <f>3142000000-H6</f>
        <v>1309000000</v>
      </c>
    </row>
    <row r="9" spans="1:10" ht="15.75" x14ac:dyDescent="0.25">
      <c r="A9" s="4" t="s">
        <v>1</v>
      </c>
      <c r="B9" s="3">
        <f>SUM(B2:B8)</f>
        <v>332179448</v>
      </c>
      <c r="C9" s="3">
        <f>SUM(C2:C8)</f>
        <v>-411251821</v>
      </c>
      <c r="D9" s="3">
        <f>SUM(D2:D8)</f>
        <v>35274742</v>
      </c>
      <c r="F9" s="3">
        <v>20443000000</v>
      </c>
      <c r="G9" s="3">
        <v>15111000000</v>
      </c>
      <c r="H9" s="3">
        <v>13904000000</v>
      </c>
    </row>
    <row r="10" spans="1:10" ht="47.25" hidden="1" x14ac:dyDescent="0.25">
      <c r="A10" s="6" t="s">
        <v>7</v>
      </c>
      <c r="B10" s="3">
        <v>74283477</v>
      </c>
      <c r="C10" s="3">
        <v>84156387</v>
      </c>
      <c r="D10" s="3">
        <v>90329754</v>
      </c>
      <c r="F10" s="3"/>
      <c r="G10" s="3"/>
      <c r="H10" s="3"/>
    </row>
    <row r="11" spans="1:10" ht="47.25" hidden="1" x14ac:dyDescent="0.25">
      <c r="A11" s="6" t="s">
        <v>8</v>
      </c>
      <c r="B11" s="3"/>
      <c r="C11" s="3"/>
      <c r="D11" s="3">
        <v>16047</v>
      </c>
      <c r="F11" s="3"/>
      <c r="G11" s="3"/>
      <c r="H11" s="3"/>
      <c r="J11" s="19" t="s">
        <v>27</v>
      </c>
    </row>
    <row r="12" spans="1:10" ht="31.5" hidden="1" x14ac:dyDescent="0.25">
      <c r="A12" s="6" t="s">
        <v>9</v>
      </c>
      <c r="B12" s="3">
        <v>0</v>
      </c>
      <c r="C12" s="3">
        <v>0</v>
      </c>
      <c r="D12" s="3">
        <v>0</v>
      </c>
      <c r="F12" s="3"/>
      <c r="G12" s="3"/>
      <c r="H12" s="3"/>
      <c r="J12" s="13" t="s">
        <v>41</v>
      </c>
    </row>
    <row r="13" spans="1:10" ht="31.5" hidden="1" x14ac:dyDescent="0.25">
      <c r="A13" s="6" t="s">
        <v>12</v>
      </c>
      <c r="B13" s="9">
        <v>0</v>
      </c>
      <c r="C13" s="9">
        <v>0</v>
      </c>
      <c r="D13" s="9">
        <v>0</v>
      </c>
      <c r="F13" s="9"/>
      <c r="G13" s="9"/>
      <c r="H13" s="9"/>
    </row>
    <row r="14" spans="1:10" ht="15.75" x14ac:dyDescent="0.25">
      <c r="A14" s="4" t="s">
        <v>2</v>
      </c>
      <c r="B14" s="3">
        <f t="shared" ref="B14" si="0">SUM(B9:B13)</f>
        <v>406462925</v>
      </c>
      <c r="C14" s="3">
        <f>SUM(C9:C13)</f>
        <v>-327095434</v>
      </c>
      <c r="D14" s="3">
        <f>SUM(D9:D13)</f>
        <v>125620543</v>
      </c>
      <c r="F14" s="3">
        <v>23428000000</v>
      </c>
      <c r="G14" s="3">
        <v>18465000000</v>
      </c>
      <c r="H14" s="3">
        <v>17057000000</v>
      </c>
    </row>
    <row r="15" spans="1:10" ht="15.75" x14ac:dyDescent="0.25">
      <c r="A15" s="4" t="s">
        <v>52</v>
      </c>
      <c r="B15" s="3">
        <f t="shared" ref="B15:C15" si="1">B14+B18+B20</f>
        <v>-1412102480</v>
      </c>
      <c r="C15" s="3">
        <f t="shared" si="1"/>
        <v>-2002329040</v>
      </c>
      <c r="D15" s="3">
        <f>D14+D18+D20</f>
        <v>-813300052</v>
      </c>
      <c r="F15" s="3">
        <f>F14+F18-F20</f>
        <v>22822000000</v>
      </c>
      <c r="G15" s="3">
        <f t="shared" ref="G15:H15" si="2">G14+G18-G20</f>
        <v>18443000000</v>
      </c>
      <c r="H15" s="3">
        <f t="shared" si="2"/>
        <v>17027000000</v>
      </c>
    </row>
    <row r="16" spans="1:10" ht="15.75" x14ac:dyDescent="0.25">
      <c r="A16" s="6" t="s">
        <v>3</v>
      </c>
      <c r="B16" s="10">
        <v>0.3</v>
      </c>
      <c r="C16" s="10">
        <v>0.3</v>
      </c>
      <c r="D16" s="10">
        <v>0.3</v>
      </c>
      <c r="F16" s="10">
        <v>0.3</v>
      </c>
      <c r="G16" s="10">
        <v>0.3</v>
      </c>
      <c r="H16" s="10">
        <v>0.3</v>
      </c>
    </row>
    <row r="17" spans="1:8" ht="15.75" x14ac:dyDescent="0.25">
      <c r="A17" s="4" t="s">
        <v>13</v>
      </c>
      <c r="B17" s="26">
        <f t="shared" ref="B17" si="3">IF(B15*B16&lt;0,0,B15*B16)</f>
        <v>0</v>
      </c>
      <c r="C17" s="26">
        <f>IF(C15*C16&lt;0,0,C15*C16)</f>
        <v>0</v>
      </c>
      <c r="D17" s="26">
        <f>IF(D15*D16&lt;0,0,D15*D16)</f>
        <v>0</v>
      </c>
      <c r="F17" s="23">
        <f>IF(F15*F16&lt;0,-(F15*F16),F15*F16)</f>
        <v>6846600000</v>
      </c>
      <c r="G17" s="23">
        <f t="shared" ref="G17:H17" si="4">IF(G15*G16&lt;0,-(G15*G16),G15*G16)</f>
        <v>5532900000</v>
      </c>
      <c r="H17" s="23">
        <f t="shared" si="4"/>
        <v>5108100000</v>
      </c>
    </row>
    <row r="18" spans="1:8" ht="15.75" x14ac:dyDescent="0.25">
      <c r="A18" s="39" t="s">
        <v>53</v>
      </c>
      <c r="B18" s="26">
        <f>IF(SUM(B6+B3)&lt;0,0,SUM(B6+B3))</f>
        <v>0</v>
      </c>
      <c r="C18" s="26">
        <f t="shared" ref="C18:D18" si="5">IF(SUM(C6+C3)&lt;0,0,SUM(C6+C3))</f>
        <v>0</v>
      </c>
      <c r="D18" s="26">
        <f t="shared" si="5"/>
        <v>0</v>
      </c>
      <c r="F18" s="26">
        <f t="shared" ref="F18:G18" si="6">IF(SUM(F6+F3)&gt;0,0,-SUM(F6+F3))</f>
        <v>0</v>
      </c>
      <c r="G18" s="26">
        <f t="shared" si="6"/>
        <v>0</v>
      </c>
      <c r="H18" s="26">
        <f>IF(SUM(H6+H3)&gt;0,0,-SUM(H6+H3))</f>
        <v>0</v>
      </c>
    </row>
    <row r="19" spans="1:8" ht="15.75" x14ac:dyDescent="0.25">
      <c r="A19" s="7" t="s">
        <v>14</v>
      </c>
      <c r="B19" s="25">
        <f t="shared" ref="B19:C19" si="7">IF(B17-B18&gt;0,0,-(B17-B18))</f>
        <v>0</v>
      </c>
      <c r="C19" s="25">
        <f t="shared" si="7"/>
        <v>0</v>
      </c>
      <c r="D19" s="25">
        <f>IF(D17-D18&gt;0,0,-(D17-D18))</f>
        <v>0</v>
      </c>
      <c r="F19" s="41">
        <f t="shared" ref="F19:G19" si="8">IF(F17-F18&gt;0,0,-(F17-F18))</f>
        <v>0</v>
      </c>
      <c r="G19" s="41">
        <f t="shared" si="8"/>
        <v>0</v>
      </c>
      <c r="H19" s="41">
        <f>IF(H17-H18&gt;0,0,-(H17-H18))</f>
        <v>0</v>
      </c>
    </row>
    <row r="20" spans="1:8" ht="15.75" x14ac:dyDescent="0.25">
      <c r="A20" s="40" t="s">
        <v>56</v>
      </c>
      <c r="B20" s="3">
        <f>-1749021539-92228414+13678957+1900000+7105591</f>
        <v>-1818565405</v>
      </c>
      <c r="C20" s="9">
        <f>-3027520597-94715945+592121602+201396417+25984917+627500000</f>
        <v>-1675233606</v>
      </c>
      <c r="D20" s="9">
        <f>-1704609215-159795829+806594393+28725916+90164140</f>
        <v>-938920595</v>
      </c>
      <c r="F20" s="43">
        <f>606000000</f>
        <v>606000000</v>
      </c>
      <c r="G20" s="43">
        <f>22000000</f>
        <v>22000000</v>
      </c>
      <c r="H20" s="43">
        <f>30000000</f>
        <v>30000000</v>
      </c>
    </row>
    <row r="21" spans="1:8" ht="15.75" customHeight="1" x14ac:dyDescent="0.25">
      <c r="A21" s="77" t="s">
        <v>47</v>
      </c>
      <c r="B21" s="78"/>
      <c r="C21" s="78"/>
      <c r="D21" s="78"/>
    </row>
    <row r="22" spans="1:8" ht="15.75" x14ac:dyDescent="0.25">
      <c r="A22" s="4" t="s">
        <v>45</v>
      </c>
      <c r="B22" s="24">
        <f>IF(F17-B16&lt;0,0,(F17-B16))</f>
        <v>6846599999.6999998</v>
      </c>
      <c r="C22" s="24">
        <f>IF(G17-C16&lt;0,0,(G17-C16))</f>
        <v>5532899999.6999998</v>
      </c>
      <c r="D22" s="11">
        <f>IF(H17-D16&lt;0,0,(H17-D16))</f>
        <v>5108099999.6999998</v>
      </c>
    </row>
    <row r="23" spans="1:8" ht="15.75" x14ac:dyDescent="0.25">
      <c r="A23" s="7" t="s">
        <v>46</v>
      </c>
      <c r="B23" s="24">
        <f>IF(F21-B20&lt;0,0,(F21-B20))</f>
        <v>1818565405</v>
      </c>
      <c r="C23" s="24">
        <f>IF(G21-C20&lt;0,0,(G21-C20))</f>
        <v>1675233606</v>
      </c>
      <c r="D23" s="11">
        <f>IF(D20-H21&gt;0,0,(H21-D20))</f>
        <v>938920595</v>
      </c>
    </row>
  </sheetData>
  <mergeCells count="1">
    <mergeCell ref="A21:D21"/>
  </mergeCells>
  <pageMargins left="0.7" right="0.7" top="0.75" bottom="0.75" header="0.3" footer="0.3"/>
  <legacy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zoomScale="73" zoomScaleNormal="73" workbookViewId="0">
      <selection activeCell="D20" sqref="D20"/>
    </sheetView>
  </sheetViews>
  <sheetFormatPr baseColWidth="10" defaultRowHeight="15" x14ac:dyDescent="0.25"/>
  <cols>
    <col min="1" max="1" width="68.140625" customWidth="1"/>
    <col min="2" max="2" width="17.140625" customWidth="1"/>
    <col min="3" max="3" width="16.140625" customWidth="1"/>
    <col min="4" max="4" width="16.42578125" customWidth="1"/>
    <col min="5" max="5" width="16" customWidth="1"/>
    <col min="6" max="6" width="17" customWidth="1"/>
    <col min="8" max="8" width="70.140625" bestFit="1" customWidth="1"/>
  </cols>
  <sheetData>
    <row r="1" spans="1:8" ht="18.75" x14ac:dyDescent="0.25">
      <c r="A1" s="44" t="s">
        <v>0</v>
      </c>
      <c r="B1" s="45" t="s">
        <v>77</v>
      </c>
      <c r="C1" s="45" t="s">
        <v>76</v>
      </c>
      <c r="D1" s="45" t="s">
        <v>60</v>
      </c>
      <c r="E1" s="45" t="s">
        <v>74</v>
      </c>
      <c r="F1" s="45" t="s">
        <v>75</v>
      </c>
    </row>
    <row r="2" spans="1:8" x14ac:dyDescent="0.25">
      <c r="A2" s="53" t="s">
        <v>61</v>
      </c>
      <c r="B2" s="47">
        <v>4000000</v>
      </c>
      <c r="C2" s="47">
        <v>4000000</v>
      </c>
      <c r="D2" s="47">
        <v>9000000</v>
      </c>
      <c r="E2" s="47">
        <v>4000000</v>
      </c>
      <c r="F2" s="47">
        <v>4000000</v>
      </c>
    </row>
    <row r="3" spans="1:8" x14ac:dyDescent="0.25">
      <c r="A3" s="53" t="s">
        <v>62</v>
      </c>
      <c r="B3" s="47">
        <v>-1000000</v>
      </c>
      <c r="C3" s="47">
        <v>-1000000</v>
      </c>
      <c r="D3" s="47">
        <v>-1000000</v>
      </c>
      <c r="E3" s="47">
        <v>-5000000</v>
      </c>
      <c r="F3" s="47">
        <v>-1000000</v>
      </c>
      <c r="H3" s="38" t="e">
        <f>#REF!-#REF!</f>
        <v>#REF!</v>
      </c>
    </row>
    <row r="4" spans="1:8" x14ac:dyDescent="0.25">
      <c r="A4" s="4" t="s">
        <v>67</v>
      </c>
      <c r="B4" s="48">
        <f>IF(SUM(B3+B2)&lt;0,0,SUM(B3+B2))</f>
        <v>3000000</v>
      </c>
      <c r="C4" s="48">
        <f>IF(SUM(C3+C2)&lt;0,0,SUM(C3+C2))</f>
        <v>3000000</v>
      </c>
      <c r="D4" s="48">
        <f>IF(SUM(D3+D2)&lt;0,0,SUM(D3+D2))</f>
        <v>8000000</v>
      </c>
      <c r="E4" s="48">
        <f>IF(SUM(E3+E2)&lt;0,0,SUM(E3+E2))</f>
        <v>0</v>
      </c>
      <c r="F4" s="48">
        <f>IF(SUM(F3+F2)&lt;0,0,SUM(F3+F2))</f>
        <v>3000000</v>
      </c>
    </row>
    <row r="5" spans="1:8" x14ac:dyDescent="0.25">
      <c r="A5" s="54" t="s">
        <v>63</v>
      </c>
      <c r="B5" s="47">
        <v>20000000</v>
      </c>
      <c r="C5" s="47">
        <v>20000000</v>
      </c>
      <c r="D5" s="47">
        <v>20000000</v>
      </c>
      <c r="E5" s="47">
        <v>20000000</v>
      </c>
      <c r="F5" s="47">
        <v>20000000</v>
      </c>
    </row>
    <row r="6" spans="1:8" x14ac:dyDescent="0.25">
      <c r="A6" s="54" t="s">
        <v>64</v>
      </c>
      <c r="B6" s="47">
        <v>2000000</v>
      </c>
      <c r="C6" s="47">
        <v>2000000</v>
      </c>
      <c r="D6" s="47">
        <v>2000000</v>
      </c>
      <c r="E6" s="47">
        <v>2000000</v>
      </c>
      <c r="F6" s="47">
        <v>2000000</v>
      </c>
    </row>
    <row r="7" spans="1:8" x14ac:dyDescent="0.25">
      <c r="A7" s="54" t="s">
        <v>66</v>
      </c>
      <c r="B7" s="47">
        <v>1000000</v>
      </c>
      <c r="C7" s="47">
        <v>1000000</v>
      </c>
      <c r="D7" s="47">
        <v>1000000</v>
      </c>
      <c r="E7" s="47">
        <v>1000000</v>
      </c>
      <c r="F7" s="47">
        <v>1000000</v>
      </c>
    </row>
    <row r="8" spans="1:8" x14ac:dyDescent="0.25">
      <c r="A8" s="54" t="s">
        <v>65</v>
      </c>
      <c r="B8" s="47">
        <v>-15000000</v>
      </c>
      <c r="C8" s="47">
        <v>-15000000</v>
      </c>
      <c r="D8" s="47">
        <v>-15000000</v>
      </c>
      <c r="E8" s="47">
        <v>-15000000</v>
      </c>
      <c r="F8" s="47">
        <v>-15000000</v>
      </c>
    </row>
    <row r="9" spans="1:8" x14ac:dyDescent="0.25">
      <c r="A9" s="4" t="s">
        <v>52</v>
      </c>
      <c r="B9" s="47">
        <f>SUM(B4:B8)</f>
        <v>11000000</v>
      </c>
      <c r="C9" s="47">
        <f>SUM(C4:C8)</f>
        <v>11000000</v>
      </c>
      <c r="D9" s="47">
        <f>SUM(D4:D8)</f>
        <v>16000000</v>
      </c>
      <c r="E9" s="47">
        <f>SUM(E4:E8)</f>
        <v>8000000</v>
      </c>
      <c r="F9" s="47">
        <f>SUM(F4:F8)</f>
        <v>11000000</v>
      </c>
    </row>
    <row r="10" spans="1:8" x14ac:dyDescent="0.25">
      <c r="A10" s="54" t="s">
        <v>3</v>
      </c>
      <c r="B10" s="49">
        <v>0.3</v>
      </c>
      <c r="C10" s="49">
        <v>0.3</v>
      </c>
      <c r="D10" s="49">
        <v>0.3</v>
      </c>
      <c r="E10" s="49">
        <v>0.3</v>
      </c>
      <c r="F10" s="49">
        <v>0.3</v>
      </c>
    </row>
    <row r="11" spans="1:8" x14ac:dyDescent="0.25">
      <c r="A11" s="27" t="s">
        <v>13</v>
      </c>
      <c r="B11" s="48">
        <f>IF(B9*B10&lt;0,0,B9*B10)</f>
        <v>3300000</v>
      </c>
      <c r="C11" s="48">
        <f>IF(C9*C10&lt;0,0,C9*C10)</f>
        <v>3300000</v>
      </c>
      <c r="D11" s="48">
        <f>IF(D9*D10&lt;0,0,D9*D10)</f>
        <v>4800000</v>
      </c>
      <c r="E11" s="48">
        <f>IF(E9*E10&lt;0,0,E9*E10)</f>
        <v>2400000</v>
      </c>
      <c r="F11" s="48">
        <f>IF(F9*F10&lt;0,0,F9*F10)</f>
        <v>3300000</v>
      </c>
    </row>
    <row r="12" spans="1:8" x14ac:dyDescent="0.25">
      <c r="A12" s="51" t="s">
        <v>14</v>
      </c>
      <c r="B12" s="50">
        <f>IF(B11-B4&gt;0,0,-(B11-B4))</f>
        <v>0</v>
      </c>
      <c r="C12" s="50">
        <f>IF(C11-C4&gt;0,0,-(C11-C4))</f>
        <v>0</v>
      </c>
      <c r="D12" s="50">
        <f>IF(D11-D4&gt;0,0,-(D11-D4))</f>
        <v>3200000</v>
      </c>
      <c r="E12" s="50">
        <f>IF(E11-E4&gt;0,0,-(E11-E4))</f>
        <v>0</v>
      </c>
      <c r="F12" s="50">
        <f>IF(F11-F4&gt;0,0,-(F11-F4))</f>
        <v>0</v>
      </c>
    </row>
    <row r="13" spans="1:8" ht="15.75" x14ac:dyDescent="0.25">
      <c r="A13" s="77" t="s">
        <v>78</v>
      </c>
      <c r="B13" s="78"/>
      <c r="C13" s="78"/>
      <c r="D13" s="78"/>
      <c r="E13" s="78"/>
      <c r="F13" s="80"/>
    </row>
    <row r="14" spans="1:8" x14ac:dyDescent="0.25">
      <c r="A14" s="51" t="s">
        <v>19</v>
      </c>
      <c r="B14" s="50">
        <v>0</v>
      </c>
      <c r="C14" s="50">
        <v>0</v>
      </c>
      <c r="D14" s="50">
        <f>D12+C14</f>
        <v>3200000</v>
      </c>
      <c r="E14" s="50">
        <f>IF(E11-D14-E4&gt;0,0,-(E11-D14-E4))</f>
        <v>800000</v>
      </c>
      <c r="F14" s="50">
        <f>IF(F11-E14-F4&gt;0,0,-(F11-E14-F4))</f>
        <v>500000</v>
      </c>
    </row>
    <row r="15" spans="1:8" ht="15.75" x14ac:dyDescent="0.25">
      <c r="A15" s="77" t="s">
        <v>79</v>
      </c>
      <c r="B15" s="78"/>
      <c r="C15" s="78"/>
      <c r="D15" s="78"/>
      <c r="E15" s="78"/>
      <c r="F15" s="80"/>
    </row>
    <row r="16" spans="1:8" x14ac:dyDescent="0.25">
      <c r="A16" s="51" t="s">
        <v>82</v>
      </c>
      <c r="B16" s="50">
        <v>0</v>
      </c>
      <c r="C16" s="50">
        <v>0</v>
      </c>
      <c r="D16" s="50">
        <f>D14+C16</f>
        <v>3200000</v>
      </c>
      <c r="E16" s="50">
        <f>IF(E11-D14-E4&gt;0,0,-(E11-D14-E4))</f>
        <v>800000</v>
      </c>
      <c r="F16" s="50">
        <f>IF(F11-E14-F4&gt;0,0,-(F11-E14-F4))</f>
        <v>500000</v>
      </c>
    </row>
    <row r="17" spans="1:6" x14ac:dyDescent="0.25">
      <c r="A17" s="51" t="s">
        <v>83</v>
      </c>
      <c r="B17" s="50">
        <f>IF(B11-C17-B4&gt;0,0,-(B11-C17-B4))</f>
        <v>0</v>
      </c>
      <c r="C17" s="50">
        <f>IF(C11-F16-C4&gt;0,0,-(C11-F16-C4))</f>
        <v>200000</v>
      </c>
      <c r="D17" s="50">
        <f>D14+C16</f>
        <v>3200000</v>
      </c>
      <c r="E17" s="50">
        <v>0</v>
      </c>
      <c r="F17" s="50">
        <v>0</v>
      </c>
    </row>
    <row r="18" spans="1:6" ht="15.75" x14ac:dyDescent="0.25">
      <c r="A18" s="79" t="s">
        <v>80</v>
      </c>
      <c r="B18" s="79"/>
      <c r="C18" s="79"/>
      <c r="D18" s="79"/>
      <c r="E18" s="79"/>
      <c r="F18" s="79"/>
    </row>
    <row r="19" spans="1:6" x14ac:dyDescent="0.25">
      <c r="A19" s="51" t="s">
        <v>84</v>
      </c>
      <c r="B19" s="50">
        <v>0</v>
      </c>
      <c r="C19" s="50">
        <f t="shared" ref="C19:E19" si="0">IF(C11-B14-C4&gt;0,0,-(C11-B14-C4))</f>
        <v>0</v>
      </c>
      <c r="D19" s="50">
        <f t="shared" si="0"/>
        <v>3200000</v>
      </c>
      <c r="E19" s="50">
        <f t="shared" si="0"/>
        <v>800000</v>
      </c>
      <c r="F19" s="50">
        <f>IF(F11-E14-F4&gt;0,0,-(F11-E14-F4))</f>
        <v>500000</v>
      </c>
    </row>
    <row r="20" spans="1:6" x14ac:dyDescent="0.25">
      <c r="A20" s="27" t="s">
        <v>81</v>
      </c>
      <c r="B20" s="50">
        <f>IF(B11-B4&lt;0,0,(B11-B4))</f>
        <v>300000</v>
      </c>
      <c r="C20" s="50">
        <f>IF(C11-C4+B20&lt;0,0,(C11-C4+B20))</f>
        <v>600000</v>
      </c>
      <c r="D20" s="50">
        <f>IF(D11-D4+C20&lt;0,0,(D11-D4+C20))</f>
        <v>0</v>
      </c>
      <c r="E20" s="50">
        <f>IF(E11-E4+D20-D22&lt;0,0,(E11-E4+D20-D22))</f>
        <v>0</v>
      </c>
      <c r="F20" s="50">
        <f>IF(F11-F4+E20-E22&lt;0,0,(F11-F4+E20-E22))</f>
        <v>100000</v>
      </c>
    </row>
    <row r="21" spans="1:6" x14ac:dyDescent="0.25">
      <c r="A21" s="27" t="s">
        <v>34</v>
      </c>
      <c r="B21" s="50">
        <f>IF(B11&lt;0,0,(B11))</f>
        <v>3300000</v>
      </c>
      <c r="C21" s="50">
        <f>IF(C11+B20&lt;0,0,(C11+B20))</f>
        <v>3600000</v>
      </c>
      <c r="D21" s="50">
        <f>IF(D11+C20&lt;0,0,(D11+C20))</f>
        <v>5400000</v>
      </c>
      <c r="E21" s="50">
        <f>IF(E11+D20&lt;0,0,(E11+D20))</f>
        <v>2400000</v>
      </c>
      <c r="F21" s="50">
        <f>IF(F11+E20&lt;0,0,(F11+E20))</f>
        <v>3300000</v>
      </c>
    </row>
    <row r="22" spans="1:6" x14ac:dyDescent="0.25">
      <c r="A22" s="51" t="s">
        <v>85</v>
      </c>
      <c r="B22" s="50">
        <f>B16</f>
        <v>0</v>
      </c>
      <c r="C22" s="50">
        <f>C16</f>
        <v>0</v>
      </c>
      <c r="D22" s="50">
        <f>IF(D11+C20-C14-D4&gt;0,0,-(D11+C20-C14-D4))</f>
        <v>2600000</v>
      </c>
      <c r="E22" s="50">
        <f>IF(E11+D20-D22-E4&gt;0,0,-(E11+D20-D22-E4))</f>
        <v>200000</v>
      </c>
      <c r="F22" s="50">
        <f>IF(F11+E20-E22-F4&gt;0,0,-(F11+E20-E22-F4))</f>
        <v>0</v>
      </c>
    </row>
  </sheetData>
  <mergeCells count="3">
    <mergeCell ref="A18:F18"/>
    <mergeCell ref="A15:F15"/>
    <mergeCell ref="A13:F13"/>
  </mergeCells>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39"/>
  <sheetViews>
    <sheetView zoomScale="69" zoomScaleNormal="69" workbookViewId="0">
      <selection activeCell="A7" sqref="A7:H7"/>
    </sheetView>
  </sheetViews>
  <sheetFormatPr baseColWidth="10" defaultRowHeight="15" x14ac:dyDescent="0.25"/>
  <cols>
    <col min="1" max="1" width="50.85546875" customWidth="1"/>
    <col min="2" max="3" width="20.28515625" hidden="1" customWidth="1"/>
    <col min="4" max="4" width="20.28515625" bestFit="1" customWidth="1"/>
    <col min="5" max="6" width="20.28515625" hidden="1" customWidth="1"/>
    <col min="7" max="7" width="51.28515625" bestFit="1" customWidth="1"/>
    <col min="8" max="8" width="20.28515625" bestFit="1" customWidth="1"/>
    <col min="9" max="10" width="20.28515625" hidden="1" customWidth="1"/>
    <col min="12" max="12" width="70.140625" bestFit="1" customWidth="1"/>
    <col min="13" max="13" width="16.42578125" bestFit="1" customWidth="1"/>
    <col min="15" max="15" width="16.42578125" bestFit="1" customWidth="1"/>
    <col min="19" max="19" width="16.42578125" bestFit="1" customWidth="1"/>
  </cols>
  <sheetData>
    <row r="1" spans="1:10" ht="18.75" x14ac:dyDescent="0.25">
      <c r="A1" s="44" t="s">
        <v>0</v>
      </c>
      <c r="B1" s="45" t="s">
        <v>60</v>
      </c>
      <c r="C1" s="44" t="s">
        <v>0</v>
      </c>
      <c r="D1" s="45" t="s">
        <v>60</v>
      </c>
      <c r="E1" s="44" t="s">
        <v>0</v>
      </c>
      <c r="F1" s="45" t="s">
        <v>60</v>
      </c>
      <c r="G1" s="44" t="s">
        <v>25</v>
      </c>
      <c r="H1" s="45" t="s">
        <v>60</v>
      </c>
      <c r="I1" s="44" t="s">
        <v>0</v>
      </c>
      <c r="J1" s="45" t="s">
        <v>60</v>
      </c>
    </row>
    <row r="2" spans="1:10" x14ac:dyDescent="0.25">
      <c r="A2" s="28" t="s">
        <v>67</v>
      </c>
      <c r="B2" s="63" t="e">
        <f>IF(SUM(#REF!+#REF!)&lt;0,0,SUM(#REF!+#REF!))</f>
        <v>#REF!</v>
      </c>
      <c r="C2" s="28" t="s">
        <v>67</v>
      </c>
      <c r="D2" s="64">
        <v>8000000</v>
      </c>
      <c r="E2" s="28" t="s">
        <v>67</v>
      </c>
      <c r="F2" s="63" t="e">
        <f>IF(SUM(#REF!+#REF!)&lt;0,0,SUM(#REF!+#REF!))</f>
        <v>#REF!</v>
      </c>
      <c r="G2" s="28" t="s">
        <v>72</v>
      </c>
      <c r="H2" s="64">
        <v>20000000</v>
      </c>
      <c r="I2" s="28" t="s">
        <v>67</v>
      </c>
      <c r="J2" s="63" t="e">
        <f>IF(SUM(#REF!+#REF!)&lt;0,0,SUM(#REF!+#REF!))</f>
        <v>#REF!</v>
      </c>
    </row>
    <row r="3" spans="1:10" x14ac:dyDescent="0.25">
      <c r="A3" s="28" t="s">
        <v>52</v>
      </c>
      <c r="B3" s="64" t="e">
        <f>SUM(B2:B2)</f>
        <v>#REF!</v>
      </c>
      <c r="C3" s="28" t="s">
        <v>52</v>
      </c>
      <c r="D3" s="64">
        <v>16000000</v>
      </c>
      <c r="E3" s="28" t="s">
        <v>52</v>
      </c>
      <c r="F3" s="64" t="e">
        <f>SUM(F2:F2)</f>
        <v>#REF!</v>
      </c>
      <c r="G3" s="28" t="s">
        <v>52</v>
      </c>
      <c r="H3" s="64">
        <v>30000000</v>
      </c>
      <c r="I3" s="28" t="s">
        <v>52</v>
      </c>
      <c r="J3" s="64" t="e">
        <f>SUM(J2:J2)</f>
        <v>#REF!</v>
      </c>
    </row>
    <row r="4" spans="1:10" x14ac:dyDescent="0.25">
      <c r="A4" s="65" t="s">
        <v>3</v>
      </c>
      <c r="B4" s="66">
        <v>0.3</v>
      </c>
      <c r="C4" s="65" t="s">
        <v>3</v>
      </c>
      <c r="D4" s="66">
        <v>0.3</v>
      </c>
      <c r="E4" s="65" t="s">
        <v>3</v>
      </c>
      <c r="F4" s="66">
        <v>0.3</v>
      </c>
      <c r="G4" s="81"/>
      <c r="H4" s="82"/>
      <c r="I4" s="65" t="s">
        <v>3</v>
      </c>
      <c r="J4" s="66">
        <v>0.3</v>
      </c>
    </row>
    <row r="5" spans="1:10" x14ac:dyDescent="0.25">
      <c r="A5" s="28" t="s">
        <v>13</v>
      </c>
      <c r="B5" s="63" t="e">
        <f>IF(B3*B4&lt;0,0,B3*B4)</f>
        <v>#REF!</v>
      </c>
      <c r="C5" s="28" t="s">
        <v>13</v>
      </c>
      <c r="D5" s="63">
        <f>IF(D3*D4&lt;0,0,D3*D4)</f>
        <v>4800000</v>
      </c>
      <c r="E5" s="28" t="s">
        <v>13</v>
      </c>
      <c r="F5" s="63" t="e">
        <f>IF(F3*F4&lt;0,0,F3*F4)</f>
        <v>#REF!</v>
      </c>
      <c r="G5" s="83"/>
      <c r="H5" s="84"/>
      <c r="I5" s="28" t="s">
        <v>13</v>
      </c>
      <c r="J5" s="63" t="e">
        <f>IF(J3*J4&lt;0,0,J3*J4)</f>
        <v>#REF!</v>
      </c>
    </row>
    <row r="6" spans="1:10" x14ac:dyDescent="0.25">
      <c r="A6" s="51" t="s">
        <v>14</v>
      </c>
      <c r="B6" s="63" t="e">
        <f>IF(B5-B2&gt;0,0,-(B5-B2))</f>
        <v>#REF!</v>
      </c>
      <c r="C6" s="51" t="s">
        <v>14</v>
      </c>
      <c r="D6" s="63">
        <f>IF(D5-D2&gt;0,0,-(D5-D2))</f>
        <v>3200000</v>
      </c>
      <c r="E6" s="51" t="s">
        <v>14</v>
      </c>
      <c r="F6" s="63" t="e">
        <f>IF(F5-F2&gt;0,0,-(F5-F2))</f>
        <v>#REF!</v>
      </c>
      <c r="G6" s="85"/>
      <c r="H6" s="86"/>
      <c r="I6" s="51" t="s">
        <v>14</v>
      </c>
      <c r="J6" s="63" t="e">
        <f>IF(J5-J2&gt;0,0,-(J5-J2))</f>
        <v>#REF!</v>
      </c>
    </row>
    <row r="7" spans="1:10" ht="15.75" x14ac:dyDescent="0.25">
      <c r="A7" s="79" t="s">
        <v>48</v>
      </c>
      <c r="B7" s="79"/>
      <c r="C7" s="79"/>
      <c r="D7" s="79"/>
      <c r="E7" s="79"/>
      <c r="F7" s="79"/>
      <c r="G7" s="79"/>
      <c r="H7" s="79"/>
      <c r="I7" s="73"/>
      <c r="J7" s="74"/>
    </row>
    <row r="8" spans="1:10" ht="15.75" x14ac:dyDescent="0.25">
      <c r="A8" s="90"/>
      <c r="B8" s="90"/>
      <c r="C8" s="90"/>
      <c r="D8" s="90"/>
      <c r="E8" s="13"/>
      <c r="F8" s="13"/>
      <c r="G8" s="67" t="s">
        <v>71</v>
      </c>
      <c r="H8" s="68">
        <f>H2/H3</f>
        <v>0.66666666666666663</v>
      </c>
      <c r="I8" s="69" t="e">
        <f>#REF!/#REF!</f>
        <v>#REF!</v>
      </c>
      <c r="J8" s="69" t="e">
        <f>#REF!/#REF!</f>
        <v>#REF!</v>
      </c>
    </row>
    <row r="9" spans="1:10" ht="15.75" x14ac:dyDescent="0.25">
      <c r="A9" s="28" t="s">
        <v>73</v>
      </c>
      <c r="B9" s="13"/>
      <c r="C9" s="13"/>
      <c r="D9" s="63">
        <f>H8*D3</f>
        <v>10666666.666666666</v>
      </c>
      <c r="E9" s="13"/>
      <c r="F9" s="13"/>
      <c r="G9" s="90"/>
      <c r="H9" s="90"/>
      <c r="I9" s="70" t="e">
        <f>IF(I8*#REF!&lt;0,0,I8*#REF!)</f>
        <v>#REF!</v>
      </c>
      <c r="J9" s="70" t="e">
        <f>IF(J8*#REF!&lt;0,0,J8*#REF!)</f>
        <v>#REF!</v>
      </c>
    </row>
    <row r="10" spans="1:10" ht="15.75" x14ac:dyDescent="0.25">
      <c r="A10" s="51" t="s">
        <v>14</v>
      </c>
      <c r="B10" s="13"/>
      <c r="C10" s="13"/>
      <c r="D10" s="63">
        <f>IF(D9-D2&gt;0,0,-(D9-D2))</f>
        <v>0</v>
      </c>
      <c r="E10" s="71" t="e">
        <f>#REF!+3027520597</f>
        <v>#REF!</v>
      </c>
      <c r="F10" s="71" t="e">
        <f>#REF!+1704609215</f>
        <v>#REF!</v>
      </c>
      <c r="G10" s="90"/>
      <c r="H10" s="90"/>
      <c r="I10" s="72" t="e">
        <f>IF(I9-#REF!&lt;0,-(I9-#REF!),I9-#REF!)</f>
        <v>#REF!</v>
      </c>
      <c r="J10" s="72" t="e">
        <f>IF(J9-#REF!&lt;0,-(J9-#REF!),J9-#REF!)</f>
        <v>#REF!</v>
      </c>
    </row>
    <row r="11" spans="1:10" x14ac:dyDescent="0.25">
      <c r="D11" s="38"/>
      <c r="E11" s="38" t="e">
        <f>#REF!+E10</f>
        <v>#REF!</v>
      </c>
      <c r="F11" s="38" t="e">
        <f>#REF!+F10</f>
        <v>#REF!</v>
      </c>
    </row>
    <row r="12" spans="1:10" x14ac:dyDescent="0.25">
      <c r="D12" s="38"/>
      <c r="E12" s="38" t="e">
        <f>#REF!+#REF!+SUM(#REF!)</f>
        <v>#REF!</v>
      </c>
      <c r="F12" s="38" t="e">
        <f>#REF!+#REF!+SUM(#REF!)</f>
        <v>#REF!</v>
      </c>
    </row>
    <row r="13" spans="1:10" x14ac:dyDescent="0.25">
      <c r="E13" t="e">
        <f>E12*#REF!</f>
        <v>#REF!</v>
      </c>
      <c r="F13" t="e">
        <f>F12*#REF!</f>
        <v>#REF!</v>
      </c>
    </row>
    <row r="14" spans="1:10" ht="15.75" x14ac:dyDescent="0.25">
      <c r="D14" s="41"/>
      <c r="E14" s="41" t="e">
        <f>IF(E13-#REF!&gt;0,0,-(E13-#REF!))</f>
        <v>#REF!</v>
      </c>
      <c r="F14" s="41" t="e">
        <f>IF(F13-#REF!&gt;0,0,-(F13-#REF!))</f>
        <v>#REF!</v>
      </c>
    </row>
    <row r="24" spans="12:21" ht="18.75" x14ac:dyDescent="0.25">
      <c r="L24" s="44" t="s">
        <v>0</v>
      </c>
      <c r="M24" s="45" t="s">
        <v>60</v>
      </c>
      <c r="N24" s="44" t="s">
        <v>0</v>
      </c>
      <c r="O24" s="45" t="s">
        <v>60</v>
      </c>
      <c r="P24" s="44" t="s">
        <v>0</v>
      </c>
      <c r="Q24" s="45" t="s">
        <v>60</v>
      </c>
      <c r="R24" s="1" t="s">
        <v>25</v>
      </c>
      <c r="S24" s="45" t="s">
        <v>60</v>
      </c>
      <c r="T24" s="44" t="s">
        <v>0</v>
      </c>
      <c r="U24" s="45" t="s">
        <v>60</v>
      </c>
    </row>
    <row r="25" spans="12:21" x14ac:dyDescent="0.25">
      <c r="L25" s="53" t="s">
        <v>61</v>
      </c>
      <c r="M25" s="47">
        <v>9000000</v>
      </c>
      <c r="N25" s="53" t="s">
        <v>61</v>
      </c>
      <c r="O25" s="47">
        <v>9000000</v>
      </c>
      <c r="P25" s="53" t="s">
        <v>61</v>
      </c>
      <c r="Q25" s="47">
        <v>9000000</v>
      </c>
      <c r="R25" s="53" t="s">
        <v>61</v>
      </c>
      <c r="S25" s="47">
        <v>9000000</v>
      </c>
      <c r="T25" s="53" t="s">
        <v>61</v>
      </c>
      <c r="U25" s="47">
        <v>9000000</v>
      </c>
    </row>
    <row r="26" spans="12:21" x14ac:dyDescent="0.25">
      <c r="L26" s="53" t="s">
        <v>62</v>
      </c>
      <c r="M26" s="47">
        <v>-1000000</v>
      </c>
      <c r="N26" s="53" t="s">
        <v>62</v>
      </c>
      <c r="O26" s="47">
        <v>-1000000</v>
      </c>
      <c r="P26" s="53" t="s">
        <v>62</v>
      </c>
      <c r="Q26" s="47">
        <v>-1000000</v>
      </c>
      <c r="R26" s="53" t="s">
        <v>62</v>
      </c>
      <c r="S26" s="47">
        <v>-1000000</v>
      </c>
      <c r="T26" s="53" t="s">
        <v>62</v>
      </c>
      <c r="U26" s="47">
        <v>-1000000</v>
      </c>
    </row>
    <row r="27" spans="12:21" x14ac:dyDescent="0.25">
      <c r="L27" s="4" t="s">
        <v>67</v>
      </c>
      <c r="M27" s="48">
        <f>IF(SUM(M26+M25)&lt;0,0,SUM(M26+M25))</f>
        <v>8000000</v>
      </c>
      <c r="N27" s="4" t="s">
        <v>67</v>
      </c>
      <c r="O27" s="48">
        <f>IF(SUM(O26+O25)&lt;0,0,SUM(O26+O25))</f>
        <v>8000000</v>
      </c>
      <c r="P27" s="4" t="s">
        <v>67</v>
      </c>
      <c r="Q27" s="48">
        <f>IF(SUM(Q26+Q25)&lt;0,0,SUM(Q26+Q25))</f>
        <v>8000000</v>
      </c>
      <c r="R27" s="4" t="s">
        <v>72</v>
      </c>
      <c r="S27" s="48">
        <f>IF(SUM(S26+S25)&lt;0,0,SUM(S26+S25))</f>
        <v>8000000</v>
      </c>
      <c r="T27" s="4" t="s">
        <v>67</v>
      </c>
      <c r="U27" s="48">
        <f>IF(SUM(U26+U25)&lt;0,0,SUM(U26+U25))</f>
        <v>8000000</v>
      </c>
    </row>
    <row r="28" spans="12:21" ht="60" x14ac:dyDescent="0.25">
      <c r="L28" s="54" t="s">
        <v>63</v>
      </c>
      <c r="M28" s="47">
        <v>20000000</v>
      </c>
      <c r="N28" s="54" t="s">
        <v>63</v>
      </c>
      <c r="O28" s="47">
        <v>20000000</v>
      </c>
      <c r="P28" s="54" t="s">
        <v>63</v>
      </c>
      <c r="Q28" s="47">
        <v>20000000</v>
      </c>
      <c r="R28" s="54" t="s">
        <v>63</v>
      </c>
      <c r="S28" s="47">
        <v>20000000</v>
      </c>
      <c r="T28" s="54" t="s">
        <v>63</v>
      </c>
      <c r="U28" s="47">
        <v>20000000</v>
      </c>
    </row>
    <row r="29" spans="12:21" ht="60" x14ac:dyDescent="0.25">
      <c r="L29" s="54" t="s">
        <v>64</v>
      </c>
      <c r="M29" s="47">
        <v>2000000</v>
      </c>
      <c r="N29" s="54" t="s">
        <v>64</v>
      </c>
      <c r="O29" s="47">
        <v>2000000</v>
      </c>
      <c r="P29" s="54" t="s">
        <v>64</v>
      </c>
      <c r="Q29" s="47">
        <v>2000000</v>
      </c>
      <c r="R29" s="54" t="s">
        <v>64</v>
      </c>
      <c r="S29" s="47">
        <v>2000000</v>
      </c>
      <c r="T29" s="54" t="s">
        <v>64</v>
      </c>
      <c r="U29" s="47">
        <v>2000000</v>
      </c>
    </row>
    <row r="30" spans="12:21" x14ac:dyDescent="0.25">
      <c r="L30" s="54" t="s">
        <v>66</v>
      </c>
      <c r="M30" s="47">
        <v>1000000</v>
      </c>
      <c r="N30" s="54" t="s">
        <v>66</v>
      </c>
      <c r="O30" s="47">
        <v>1000000</v>
      </c>
      <c r="P30" s="54" t="s">
        <v>66</v>
      </c>
      <c r="Q30" s="47">
        <v>1000000</v>
      </c>
      <c r="R30" s="54" t="s">
        <v>66</v>
      </c>
      <c r="S30" s="47">
        <v>1000000</v>
      </c>
      <c r="T30" s="54" t="s">
        <v>66</v>
      </c>
      <c r="U30" s="47">
        <v>1000000</v>
      </c>
    </row>
    <row r="31" spans="12:21" ht="45" x14ac:dyDescent="0.25">
      <c r="L31" s="54" t="s">
        <v>65</v>
      </c>
      <c r="M31" s="47">
        <v>-15000000</v>
      </c>
      <c r="N31" s="54" t="s">
        <v>65</v>
      </c>
      <c r="O31" s="47">
        <v>-15000000</v>
      </c>
      <c r="P31" s="54" t="s">
        <v>65</v>
      </c>
      <c r="Q31" s="47">
        <v>-15000000</v>
      </c>
      <c r="R31" s="54" t="s">
        <v>65</v>
      </c>
      <c r="S31" s="47">
        <v>-15000000</v>
      </c>
      <c r="T31" s="54" t="s">
        <v>65</v>
      </c>
      <c r="U31" s="47">
        <v>-15000000</v>
      </c>
    </row>
    <row r="32" spans="12:21" x14ac:dyDescent="0.25">
      <c r="L32" s="4" t="s">
        <v>52</v>
      </c>
      <c r="M32" s="47">
        <f>SUM(M27:M31)</f>
        <v>16000000</v>
      </c>
      <c r="N32" s="4" t="s">
        <v>52</v>
      </c>
      <c r="O32" s="47">
        <f>SUM(O27:O31)</f>
        <v>16000000</v>
      </c>
      <c r="P32" s="4" t="s">
        <v>52</v>
      </c>
      <c r="Q32" s="47">
        <f>SUM(Q27:Q31)</f>
        <v>16000000</v>
      </c>
      <c r="R32" s="4" t="s">
        <v>52</v>
      </c>
      <c r="S32" s="47">
        <f>SUM(S27:S31)</f>
        <v>16000000</v>
      </c>
      <c r="T32" s="4" t="s">
        <v>52</v>
      </c>
      <c r="U32" s="47">
        <f>SUM(U27:U31)</f>
        <v>16000000</v>
      </c>
    </row>
    <row r="33" spans="12:21" ht="30" x14ac:dyDescent="0.25">
      <c r="L33" s="54" t="s">
        <v>3</v>
      </c>
      <c r="M33" s="49">
        <v>0.3</v>
      </c>
      <c r="N33" s="54" t="s">
        <v>3</v>
      </c>
      <c r="O33" s="49">
        <v>0.3</v>
      </c>
      <c r="P33" s="54" t="s">
        <v>3</v>
      </c>
      <c r="Q33" s="49">
        <v>0.3</v>
      </c>
      <c r="R33" s="54" t="s">
        <v>3</v>
      </c>
      <c r="S33" s="49">
        <v>0.3</v>
      </c>
      <c r="T33" s="54" t="s">
        <v>3</v>
      </c>
      <c r="U33" s="49">
        <v>0.3</v>
      </c>
    </row>
    <row r="34" spans="12:21" x14ac:dyDescent="0.25">
      <c r="L34" s="27" t="s">
        <v>13</v>
      </c>
      <c r="M34" s="48">
        <f>IF(M32*M33&lt;0,0,M32*M33)</f>
        <v>4800000</v>
      </c>
      <c r="N34" s="27" t="s">
        <v>13</v>
      </c>
      <c r="O34" s="48">
        <f>IF(O32*O33&lt;0,0,O32*O33)</f>
        <v>4800000</v>
      </c>
      <c r="P34" s="27" t="s">
        <v>13</v>
      </c>
      <c r="Q34" s="48">
        <f>IF(Q32*Q33&lt;0,0,Q32*Q33)</f>
        <v>4800000</v>
      </c>
      <c r="R34" s="27" t="s">
        <v>13</v>
      </c>
      <c r="S34" s="48">
        <f>IF(S32*S33&lt;0,0,S32*S33)</f>
        <v>4800000</v>
      </c>
      <c r="T34" s="27" t="s">
        <v>13</v>
      </c>
      <c r="U34" s="48">
        <f>IF(U32*U33&lt;0,0,U32*U33)</f>
        <v>4800000</v>
      </c>
    </row>
    <row r="35" spans="12:21" x14ac:dyDescent="0.25">
      <c r="L35" s="51" t="s">
        <v>14</v>
      </c>
      <c r="M35" s="50">
        <f>IF(M34-M27&gt;0,0,-(M34-M27))</f>
        <v>3200000</v>
      </c>
      <c r="N35" s="51" t="s">
        <v>14</v>
      </c>
      <c r="O35" s="50">
        <f>IF(O34-O27&gt;0,0,-(O34-O27))</f>
        <v>3200000</v>
      </c>
      <c r="P35" s="51" t="s">
        <v>14</v>
      </c>
      <c r="Q35" s="50">
        <f>IF(Q34-Q27&gt;0,0,-(Q34-Q27))</f>
        <v>3200000</v>
      </c>
      <c r="R35" s="51" t="s">
        <v>14</v>
      </c>
      <c r="S35" s="50">
        <f>IF(S34-S27&gt;0,0,-(S34-S27))</f>
        <v>3200000</v>
      </c>
      <c r="T35" s="51" t="s">
        <v>14</v>
      </c>
      <c r="U35" s="50">
        <f>IF(U34-U27&gt;0,0,-(U34-U27))</f>
        <v>3200000</v>
      </c>
    </row>
    <row r="36" spans="12:21" ht="15.75" x14ac:dyDescent="0.25">
      <c r="L36" s="87" t="s">
        <v>48</v>
      </c>
      <c r="M36" s="88"/>
      <c r="N36" s="88"/>
      <c r="O36" s="88"/>
      <c r="P36" s="88"/>
      <c r="Q36" s="88"/>
      <c r="R36" s="88"/>
      <c r="S36" s="88"/>
      <c r="T36" s="88"/>
      <c r="U36" s="89"/>
    </row>
    <row r="37" spans="12:21" ht="90" x14ac:dyDescent="0.25">
      <c r="R37" s="33" t="s">
        <v>71</v>
      </c>
      <c r="S37" s="62">
        <f>S27/S32</f>
        <v>0.5</v>
      </c>
      <c r="T37" s="34" t="e">
        <f>#REF!/#REF!</f>
        <v>#REF!</v>
      </c>
      <c r="U37" s="34" t="e">
        <f>#REF!/#REF!</f>
        <v>#REF!</v>
      </c>
    </row>
    <row r="38" spans="12:21" ht="15.75" x14ac:dyDescent="0.25">
      <c r="R38" s="4" t="s">
        <v>35</v>
      </c>
      <c r="S38" s="48">
        <f>S37*O32</f>
        <v>8000000</v>
      </c>
      <c r="T38" s="22" t="e">
        <f>IF(T37*#REF!&lt;0,0,T37*#REF!)</f>
        <v>#REF!</v>
      </c>
      <c r="U38" s="22" t="e">
        <f>IF(U37*#REF!&lt;0,0,U37*#REF!)</f>
        <v>#REF!</v>
      </c>
    </row>
    <row r="39" spans="12:21" ht="15.75" x14ac:dyDescent="0.25">
      <c r="O39" s="38"/>
      <c r="P39" s="38" t="e">
        <f>#REF!+3027520597</f>
        <v>#REF!</v>
      </c>
      <c r="Q39" s="38" t="e">
        <f>#REF!+1704609215</f>
        <v>#REF!</v>
      </c>
      <c r="R39" s="7" t="s">
        <v>36</v>
      </c>
      <c r="S39" s="48">
        <f>IF(S38-O27&gt;0,0,-(S38-O27))</f>
        <v>0</v>
      </c>
      <c r="T39" s="42" t="e">
        <f>IF(T38-#REF!&lt;0,-(T38-#REF!),T38-#REF!)</f>
        <v>#REF!</v>
      </c>
      <c r="U39" s="42" t="e">
        <f>IF(U38-#REF!&lt;0,-(U38-#REF!),U38-#REF!)</f>
        <v>#REF!</v>
      </c>
    </row>
  </sheetData>
  <mergeCells count="5">
    <mergeCell ref="G4:H6"/>
    <mergeCell ref="L36:U36"/>
    <mergeCell ref="A8:D8"/>
    <mergeCell ref="G9:H10"/>
    <mergeCell ref="A7:H7"/>
  </mergeCells>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
  <sheetViews>
    <sheetView zoomScale="73" zoomScaleNormal="73" workbookViewId="0">
      <selection sqref="A1:F7"/>
    </sheetView>
  </sheetViews>
  <sheetFormatPr baseColWidth="10" defaultRowHeight="15" x14ac:dyDescent="0.25"/>
  <cols>
    <col min="1" max="1" width="36" bestFit="1" customWidth="1"/>
    <col min="2" max="2" width="19.140625" bestFit="1" customWidth="1"/>
    <col min="3" max="4" width="19.140625" hidden="1" customWidth="1"/>
    <col min="5" max="5" width="38.7109375" bestFit="1" customWidth="1"/>
    <col min="6" max="6" width="20.28515625" bestFit="1" customWidth="1"/>
    <col min="7" max="8" width="20.28515625" hidden="1" customWidth="1"/>
    <col min="10" max="10" width="70.140625" bestFit="1" customWidth="1"/>
  </cols>
  <sheetData>
    <row r="1" spans="1:10" ht="18.75" x14ac:dyDescent="0.25">
      <c r="A1" s="1" t="s">
        <v>0</v>
      </c>
      <c r="B1" s="2" t="s">
        <v>60</v>
      </c>
      <c r="C1" s="2">
        <v>2014</v>
      </c>
      <c r="D1" s="2">
        <v>2015</v>
      </c>
      <c r="E1" s="1" t="s">
        <v>25</v>
      </c>
      <c r="F1" s="2" t="s">
        <v>60</v>
      </c>
      <c r="G1" s="2">
        <v>2014</v>
      </c>
      <c r="H1" s="2">
        <v>2015</v>
      </c>
      <c r="J1" s="12" t="s">
        <v>18</v>
      </c>
    </row>
    <row r="2" spans="1:10" ht="15.75" hidden="1" x14ac:dyDescent="0.25">
      <c r="A2" s="4" t="s">
        <v>13</v>
      </c>
      <c r="B2" s="49" t="e">
        <f>'3) Consolidation - EBITDA'!#REF!</f>
        <v>#REF!</v>
      </c>
      <c r="C2" s="3" t="e">
        <f>'3) Consolidation - EBITDA'!#REF!</f>
        <v>#REF!</v>
      </c>
      <c r="D2" s="3" t="e">
        <f>'3) Consolidation - EBITDA'!#REF!</f>
        <v>#REF!</v>
      </c>
      <c r="J2" s="17" t="s">
        <v>26</v>
      </c>
    </row>
    <row r="3" spans="1:10" ht="15.75" x14ac:dyDescent="0.25">
      <c r="A3" s="55" t="s">
        <v>14</v>
      </c>
      <c r="B3" s="50">
        <v>3200000</v>
      </c>
      <c r="C3" s="3" t="e">
        <f>'3) Consolidation - EBITDA'!#REF!</f>
        <v>#REF!</v>
      </c>
      <c r="D3" s="59" t="e">
        <f>'3) Consolidation - EBITDA'!#REF!</f>
        <v>#REF!</v>
      </c>
      <c r="E3" s="90"/>
      <c r="F3" s="90"/>
      <c r="J3" s="17" t="s">
        <v>37</v>
      </c>
    </row>
    <row r="4" spans="1:10" ht="30" x14ac:dyDescent="0.25">
      <c r="A4" s="53" t="s">
        <v>15</v>
      </c>
      <c r="B4" s="50">
        <v>6000000</v>
      </c>
      <c r="C4" s="3">
        <v>36011333178</v>
      </c>
      <c r="D4" s="3">
        <v>31163834115</v>
      </c>
      <c r="E4" s="60" t="s">
        <v>15</v>
      </c>
      <c r="F4" s="61">
        <v>19500000</v>
      </c>
      <c r="G4" s="3">
        <v>54257000000</v>
      </c>
      <c r="H4" s="3">
        <v>45719000000</v>
      </c>
      <c r="J4" s="18" t="s">
        <v>38</v>
      </c>
    </row>
    <row r="5" spans="1:10" ht="15.75" x14ac:dyDescent="0.25">
      <c r="A5" s="53" t="s">
        <v>32</v>
      </c>
      <c r="B5" s="50">
        <v>9000000</v>
      </c>
      <c r="C5" s="3">
        <v>66992443887</v>
      </c>
      <c r="D5" s="3">
        <v>79242530196</v>
      </c>
      <c r="E5" s="53" t="s">
        <v>32</v>
      </c>
      <c r="F5" s="50">
        <v>30000000</v>
      </c>
      <c r="G5" s="3">
        <v>142550000000</v>
      </c>
      <c r="H5" s="3">
        <v>134635000000</v>
      </c>
      <c r="J5" s="32"/>
    </row>
    <row r="6" spans="1:10" ht="15.75" x14ac:dyDescent="0.25">
      <c r="A6" s="27" t="s">
        <v>33</v>
      </c>
      <c r="B6" s="56">
        <f t="shared" ref="B6" si="0">B4/B5</f>
        <v>0.66666666666666663</v>
      </c>
      <c r="C6" s="57">
        <f t="shared" ref="C6" si="1">C4/C5</f>
        <v>0.53754320768984609</v>
      </c>
      <c r="D6" s="57">
        <f>D4/D5</f>
        <v>0.39327156815814401</v>
      </c>
      <c r="E6" s="58" t="s">
        <v>33</v>
      </c>
      <c r="F6" s="56">
        <f t="shared" ref="F6:G6" si="2">F4/F5</f>
        <v>0.65</v>
      </c>
      <c r="G6" s="10">
        <f t="shared" si="2"/>
        <v>0.38061732725359521</v>
      </c>
      <c r="H6" s="10">
        <f>H4/H5</f>
        <v>0.33957737586808778</v>
      </c>
      <c r="J6" s="29"/>
    </row>
    <row r="7" spans="1:10" ht="18.75" x14ac:dyDescent="0.25">
      <c r="A7" s="79" t="s">
        <v>70</v>
      </c>
      <c r="B7" s="79"/>
      <c r="C7" s="79"/>
      <c r="D7" s="79"/>
      <c r="E7" s="79"/>
      <c r="F7" s="79"/>
      <c r="J7" s="19" t="s">
        <v>27</v>
      </c>
    </row>
    <row r="8" spans="1:10" x14ac:dyDescent="0.25">
      <c r="J8" s="20" t="s">
        <v>31</v>
      </c>
    </row>
    <row r="9" spans="1:10" x14ac:dyDescent="0.25">
      <c r="J9" s="30"/>
    </row>
  </sheetData>
  <mergeCells count="2">
    <mergeCell ref="A7:F7"/>
    <mergeCell ref="E3:F3"/>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8</vt:i4>
      </vt:variant>
    </vt:vector>
  </HeadingPairs>
  <TitlesOfParts>
    <vt:vector size="8" baseType="lpstr">
      <vt:lpstr>Plan</vt:lpstr>
      <vt:lpstr>Données</vt:lpstr>
      <vt:lpstr>1)Règles de base - 30% et 3M</vt:lpstr>
      <vt:lpstr>1)bis - 30% du groupe</vt:lpstr>
      <vt:lpstr>2) Report</vt:lpstr>
      <vt:lpstr>3) Consolidation - EBITDA</vt:lpstr>
      <vt:lpstr>3) Conso compt - equity escape</vt:lpstr>
      <vt:lpstr>Feuil1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X230T</dc:creator>
  <cp:lastModifiedBy>X230T</cp:lastModifiedBy>
  <cp:lastPrinted>2017-05-19T13:31:27Z</cp:lastPrinted>
  <dcterms:created xsi:type="dcterms:W3CDTF">2017-05-07T19:23:08Z</dcterms:created>
  <dcterms:modified xsi:type="dcterms:W3CDTF">2017-08-17T12:07:34Z</dcterms:modified>
</cp:coreProperties>
</file>