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15" windowWidth="20115" windowHeight="7245" firstSheet="2" activeTab="4"/>
  </bookViews>
  <sheets>
    <sheet name="Plan" sheetId="10" r:id="rId1"/>
    <sheet name="Données" sheetId="14" r:id="rId2"/>
    <sheet name="1)Règles de base - 30% et 3M" sheetId="3" r:id="rId3"/>
    <sheet name="1)bis - 30% du groupe" sheetId="13" r:id="rId4"/>
    <sheet name="2) Report" sheetId="5" r:id="rId5"/>
    <sheet name="3) Consolidation - EBITDA" sheetId="6" r:id="rId6"/>
    <sheet name="3) Conso compt - equity escape" sheetId="12" r:id="rId7"/>
    <sheet name="Feuil1" sheetId="19" r:id="rId8"/>
  </sheets>
  <externalReferences>
    <externalReference r:id="rId9"/>
  </externalReferences>
  <calcPr calcId="145621"/>
</workbook>
</file>

<file path=xl/calcChain.xml><?xml version="1.0" encoding="utf-8"?>
<calcChain xmlns="http://schemas.openxmlformats.org/spreadsheetml/2006/main">
  <c r="D29" i="5" l="1"/>
  <c r="E29" i="5"/>
  <c r="F29" i="5" s="1"/>
  <c r="H24" i="5" l="1"/>
  <c r="G16" i="13" l="1"/>
  <c r="G18" i="13" s="1"/>
  <c r="F16" i="13"/>
  <c r="H19" i="13"/>
  <c r="G19" i="13"/>
  <c r="F19" i="13"/>
  <c r="H17" i="13"/>
  <c r="G17" i="13"/>
  <c r="F17" i="13"/>
  <c r="H16" i="13"/>
  <c r="H18" i="13" s="1"/>
  <c r="H8" i="13"/>
  <c r="G8" i="13"/>
  <c r="F8" i="13"/>
  <c r="H5" i="13"/>
  <c r="G5" i="13"/>
  <c r="F5" i="13"/>
  <c r="I17" i="6"/>
  <c r="J17" i="6"/>
  <c r="H17" i="6"/>
  <c r="I42" i="6"/>
  <c r="J42" i="6"/>
  <c r="H42" i="6"/>
  <c r="J44" i="6"/>
  <c r="I44" i="6"/>
  <c r="H44" i="6"/>
  <c r="J41" i="6"/>
  <c r="I41" i="6"/>
  <c r="H41" i="6"/>
  <c r="J33" i="6"/>
  <c r="I33" i="6"/>
  <c r="H33" i="6"/>
  <c r="J30" i="6"/>
  <c r="I30" i="6"/>
  <c r="H30" i="6"/>
  <c r="B24" i="3"/>
  <c r="C24" i="3"/>
  <c r="D24" i="3"/>
  <c r="F24" i="3"/>
  <c r="E24" i="3"/>
  <c r="C23" i="3"/>
  <c r="D23" i="3"/>
  <c r="E23" i="3"/>
  <c r="F23" i="3"/>
  <c r="B23" i="3"/>
  <c r="E21" i="6"/>
  <c r="F21" i="6"/>
  <c r="D21" i="6"/>
  <c r="F17" i="6"/>
  <c r="E17" i="6"/>
  <c r="D17" i="6"/>
  <c r="F17" i="5"/>
  <c r="E17" i="5"/>
  <c r="D17" i="5"/>
  <c r="C17" i="5"/>
  <c r="B17" i="5"/>
  <c r="D17" i="13"/>
  <c r="C17" i="13"/>
  <c r="B17" i="13"/>
  <c r="C17" i="3"/>
  <c r="D17" i="3"/>
  <c r="E17" i="3"/>
  <c r="F17" i="3"/>
  <c r="B17" i="3"/>
  <c r="B25" i="3"/>
  <c r="C25" i="3"/>
  <c r="D25" i="3"/>
  <c r="E25" i="3"/>
  <c r="F25" i="3"/>
  <c r="G17" i="3"/>
  <c r="H17" i="3"/>
  <c r="I17" i="3"/>
  <c r="J17" i="3"/>
  <c r="K17" i="3"/>
  <c r="F18" i="13" l="1"/>
  <c r="I43" i="6"/>
  <c r="J43" i="6"/>
  <c r="H43" i="6"/>
  <c r="C20" i="12"/>
  <c r="D20" i="12"/>
  <c r="B20" i="12"/>
  <c r="F17" i="12"/>
  <c r="G17" i="12"/>
  <c r="G18" i="12" s="1"/>
  <c r="H17" i="12"/>
  <c r="H18" i="12" s="1"/>
  <c r="G16" i="12"/>
  <c r="H16" i="12"/>
  <c r="F16" i="12"/>
  <c r="C16" i="12"/>
  <c r="C18" i="12" s="1"/>
  <c r="D16" i="12"/>
  <c r="C17" i="12"/>
  <c r="D17" i="12"/>
  <c r="B17" i="12"/>
  <c r="B16" i="12"/>
  <c r="D18" i="12"/>
  <c r="F18" i="12"/>
  <c r="D14" i="12"/>
  <c r="C14" i="12"/>
  <c r="B14" i="12"/>
  <c r="B18" i="12" l="1"/>
  <c r="J19" i="6"/>
  <c r="I19" i="6"/>
  <c r="H19" i="6"/>
  <c r="J16" i="6"/>
  <c r="I16" i="6"/>
  <c r="H16" i="6"/>
  <c r="J8" i="6"/>
  <c r="I8" i="6"/>
  <c r="H8" i="6"/>
  <c r="J5" i="6"/>
  <c r="I5" i="6"/>
  <c r="H5" i="6"/>
  <c r="F23" i="6"/>
  <c r="E23" i="6"/>
  <c r="D23" i="6"/>
  <c r="F9" i="6"/>
  <c r="F14" i="6" s="1"/>
  <c r="F16" i="6" s="1"/>
  <c r="E9" i="6"/>
  <c r="E14" i="6" s="1"/>
  <c r="E16" i="6" s="1"/>
  <c r="E18" i="6" s="1"/>
  <c r="C15" i="12" s="1"/>
  <c r="D9" i="6"/>
  <c r="D14" i="6" s="1"/>
  <c r="D16" i="6" s="1"/>
  <c r="D18" i="6" s="1"/>
  <c r="B15" i="12" s="1"/>
  <c r="C26" i="3"/>
  <c r="C9" i="3"/>
  <c r="C14" i="3" s="1"/>
  <c r="B3" i="3"/>
  <c r="C29" i="5"/>
  <c r="B29" i="5"/>
  <c r="D14" i="5"/>
  <c r="D16" i="5" s="1"/>
  <c r="F9" i="5"/>
  <c r="F14" i="5" s="1"/>
  <c r="F16" i="5" s="1"/>
  <c r="E9" i="5"/>
  <c r="E14" i="5" s="1"/>
  <c r="E16" i="5" s="1"/>
  <c r="D9" i="5"/>
  <c r="D9" i="13"/>
  <c r="D14" i="13" s="1"/>
  <c r="D16" i="13" s="1"/>
  <c r="D18" i="13" s="1"/>
  <c r="C9" i="13"/>
  <c r="C14" i="13" s="1"/>
  <c r="C16" i="13" s="1"/>
  <c r="C18" i="13" s="1"/>
  <c r="B9" i="13"/>
  <c r="B14" i="13" s="1"/>
  <c r="B16" i="13" s="1"/>
  <c r="B18" i="13" s="1"/>
  <c r="E16" i="3"/>
  <c r="E18" i="3" s="1"/>
  <c r="C22" i="13"/>
  <c r="D22" i="13"/>
  <c r="C9" i="5"/>
  <c r="C14" i="5" s="1"/>
  <c r="C16" i="5" s="1"/>
  <c r="B3" i="5"/>
  <c r="C21" i="13"/>
  <c r="D21" i="13"/>
  <c r="E22" i="3"/>
  <c r="F21" i="3"/>
  <c r="F22" i="3" s="1"/>
  <c r="E21" i="3"/>
  <c r="D21" i="3"/>
  <c r="D22" i="3" s="1"/>
  <c r="F26" i="3"/>
  <c r="E26" i="3"/>
  <c r="D26" i="3"/>
  <c r="F9" i="3"/>
  <c r="F14" i="3" s="1"/>
  <c r="E9" i="3"/>
  <c r="E14" i="3" s="1"/>
  <c r="D9" i="3"/>
  <c r="D14" i="3" s="1"/>
  <c r="I18" i="6" l="1"/>
  <c r="J18" i="6"/>
  <c r="C16" i="3"/>
  <c r="C18" i="3" s="1"/>
  <c r="F16" i="3"/>
  <c r="F18" i="3" s="1"/>
  <c r="B9" i="3"/>
  <c r="B14" i="3" s="1"/>
  <c r="B26" i="3"/>
  <c r="H18" i="6"/>
  <c r="D18" i="5"/>
  <c r="F18" i="6"/>
  <c r="D15" i="12" s="1"/>
  <c r="C18" i="5"/>
  <c r="B9" i="5"/>
  <c r="B14" i="5" s="1"/>
  <c r="B16" i="5" s="1"/>
  <c r="E18" i="5"/>
  <c r="F18" i="5"/>
  <c r="D16" i="3"/>
  <c r="D18" i="3" s="1"/>
  <c r="B16" i="3" l="1"/>
  <c r="B18" i="3" s="1"/>
  <c r="B18" i="5"/>
  <c r="B21" i="5" s="1"/>
  <c r="C26" i="5" s="1"/>
  <c r="B27" i="5"/>
  <c r="C21" i="5"/>
  <c r="D21" i="5" l="1"/>
  <c r="D23" i="5"/>
  <c r="D26" i="5"/>
  <c r="D24" i="5"/>
  <c r="B28" i="5"/>
  <c r="C27" i="5"/>
  <c r="C28" i="5"/>
  <c r="D27" i="5" l="1"/>
  <c r="D28" i="5"/>
  <c r="E21" i="5"/>
  <c r="E23" i="5"/>
  <c r="B24" i="5" s="1"/>
  <c r="E26" i="5"/>
  <c r="F23" i="5" l="1"/>
  <c r="C24" i="5" s="1"/>
  <c r="F26" i="5"/>
  <c r="F21" i="5"/>
  <c r="E27" i="5"/>
  <c r="E28" i="5"/>
  <c r="F27" i="5" l="1"/>
  <c r="F28" i="5"/>
  <c r="D10" i="12"/>
  <c r="D11" i="12" s="1"/>
  <c r="C10" i="12"/>
  <c r="C11" i="12" s="1"/>
  <c r="B10" i="12"/>
  <c r="B11" i="12" s="1"/>
  <c r="D8" i="12"/>
  <c r="D9" i="12" s="1"/>
  <c r="C8" i="12"/>
  <c r="C9" i="12" s="1"/>
  <c r="B8" i="12"/>
  <c r="B9" i="12" s="1"/>
  <c r="E29" i="6" l="1"/>
  <c r="E30" i="6" s="1"/>
  <c r="E31" i="6" s="1"/>
  <c r="D29" i="6"/>
  <c r="D30" i="6" s="1"/>
  <c r="D31" i="6" s="1"/>
  <c r="F29" i="6"/>
  <c r="F30" i="6" s="1"/>
  <c r="F31" i="6" s="1"/>
  <c r="F27" i="6"/>
  <c r="F28" i="6" s="1"/>
  <c r="D27" i="6"/>
  <c r="D28" i="6" s="1"/>
  <c r="E27" i="6"/>
  <c r="E28" i="6" s="1"/>
  <c r="J21" i="6"/>
  <c r="F22" i="6" s="1"/>
  <c r="I21" i="6"/>
  <c r="E22" i="6" s="1"/>
  <c r="H21" i="6"/>
  <c r="D22" i="6" s="1"/>
  <c r="B22" i="13"/>
  <c r="H18" i="5"/>
  <c r="H17" i="5"/>
  <c r="C9" i="6"/>
  <c r="C14" i="6" s="1"/>
  <c r="C21" i="6" s="1"/>
  <c r="C17" i="6"/>
  <c r="B3" i="6"/>
  <c r="B9" i="6" s="1"/>
  <c r="B14" i="6" s="1"/>
  <c r="B21" i="6" s="1"/>
  <c r="B2" i="12"/>
  <c r="C2" i="12"/>
  <c r="D2" i="12"/>
  <c r="F6" i="12"/>
  <c r="B6" i="12"/>
  <c r="B7" i="12"/>
  <c r="G6" i="12"/>
  <c r="C6" i="12"/>
  <c r="C7" i="12"/>
  <c r="H6" i="12"/>
  <c r="D6" i="12"/>
  <c r="D7" i="12"/>
  <c r="B16" i="6" l="1"/>
  <c r="C16" i="6"/>
  <c r="C18" i="6" s="1"/>
  <c r="B3" i="12"/>
  <c r="C3" i="12"/>
  <c r="D3" i="12"/>
  <c r="B17" i="6"/>
  <c r="H19" i="5"/>
  <c r="B21" i="13"/>
  <c r="B18" i="6" l="1"/>
</calcChain>
</file>

<file path=xl/comments1.xml><?xml version="1.0" encoding="utf-8"?>
<comments xmlns="http://schemas.openxmlformats.org/spreadsheetml/2006/main">
  <authors>
    <author>X230T</author>
  </authors>
  <commentList>
    <comment ref="A23" authorId="0">
      <text>
        <r>
          <rPr>
            <b/>
            <sz val="9"/>
            <color indexed="81"/>
            <rFont val="Tahoma"/>
            <charset val="1"/>
          </rPr>
          <t>X230T:</t>
        </r>
        <r>
          <rPr>
            <sz val="9"/>
            <color indexed="81"/>
            <rFont val="Tahoma"/>
            <charset val="1"/>
          </rPr>
          <t xml:space="preserve">
(Profits)+(EBC)+(Taxes)+(Amortisation/Depreciation)-(Exemptincome)</t>
        </r>
      </text>
    </comment>
    <comment ref="F23" authorId="0">
      <text>
        <r>
          <rPr>
            <b/>
            <sz val="9"/>
            <color indexed="81"/>
            <rFont val="Tahoma"/>
            <charset val="1"/>
          </rPr>
          <t>X230T:</t>
        </r>
        <r>
          <rPr>
            <sz val="9"/>
            <color indexed="81"/>
            <rFont val="Tahoma"/>
            <charset val="1"/>
          </rPr>
          <t xml:space="preserve">
Les revenus exonérés sont déjà enlevés du calcul lors du calcul du surcoût (750-RDT)</t>
        </r>
      </text>
    </comment>
  </commentList>
</comments>
</file>

<file path=xl/comments2.xml><?xml version="1.0" encoding="utf-8"?>
<comments xmlns="http://schemas.openxmlformats.org/spreadsheetml/2006/main">
  <authors>
    <author>X230T</author>
  </authors>
  <commentList>
    <comment ref="G14" authorId="0">
      <text>
        <r>
          <rPr>
            <b/>
            <sz val="9"/>
            <color indexed="81"/>
            <rFont val="Tahoma"/>
            <family val="2"/>
          </rPr>
          <t>X230T:</t>
        </r>
        <r>
          <rPr>
            <sz val="9"/>
            <color indexed="81"/>
            <rFont val="Tahoma"/>
            <family val="2"/>
          </rPr>
          <t xml:space="preserve">
REBITDA utilisé</t>
        </r>
      </text>
    </comment>
    <comment ref="F19" authorId="0">
      <text>
        <r>
          <rPr>
            <b/>
            <sz val="9"/>
            <color indexed="81"/>
            <rFont val="Tahoma"/>
            <family val="2"/>
          </rPr>
          <t>X230T:</t>
        </r>
        <r>
          <rPr>
            <sz val="9"/>
            <color indexed="81"/>
            <rFont val="Tahoma"/>
            <family val="2"/>
          </rPr>
          <t xml:space="preserve">
Dividende reçue - dividende taxable ? (-135000000) car l'année d'après c'est impossible car 173 millions alors que seulement 22 de dividendes reçues…
</t>
        </r>
      </text>
    </comment>
  </commentList>
</comments>
</file>

<file path=xl/comments3.xml><?xml version="1.0" encoding="utf-8"?>
<comments xmlns="http://schemas.openxmlformats.org/spreadsheetml/2006/main">
  <authors>
    <author>X230T</author>
  </authors>
  <commentList>
    <comment ref="I14" authorId="0">
      <text>
        <r>
          <rPr>
            <b/>
            <sz val="9"/>
            <color indexed="81"/>
            <rFont val="Tahoma"/>
            <family val="2"/>
          </rPr>
          <t>X230T:</t>
        </r>
        <r>
          <rPr>
            <sz val="9"/>
            <color indexed="81"/>
            <rFont val="Tahoma"/>
            <family val="2"/>
          </rPr>
          <t xml:space="preserve">
REBITDA utilisé</t>
        </r>
      </text>
    </comment>
    <comment ref="H19" authorId="0">
      <text>
        <r>
          <rPr>
            <b/>
            <sz val="9"/>
            <color indexed="81"/>
            <rFont val="Tahoma"/>
            <family val="2"/>
          </rPr>
          <t>X230T:</t>
        </r>
        <r>
          <rPr>
            <sz val="9"/>
            <color indexed="81"/>
            <rFont val="Tahoma"/>
            <family val="2"/>
          </rPr>
          <t xml:space="preserve">
Dividende reçue - dividende taxable ? (-135000000) car l'année d'après c'est impossible car 173 millions alors que seulement 22 de dividendes reçues…
</t>
        </r>
      </text>
    </comment>
    <comment ref="A29" authorId="0">
      <text>
        <r>
          <rPr>
            <b/>
            <sz val="9"/>
            <color indexed="81"/>
            <rFont val="Tahoma"/>
            <charset val="1"/>
          </rPr>
          <t>X230T:</t>
        </r>
        <r>
          <rPr>
            <sz val="9"/>
            <color indexed="81"/>
            <rFont val="Tahoma"/>
            <charset val="1"/>
          </rPr>
          <t xml:space="preserve">
(Profits)+(EBC)+(Taxes)+(Amortisation/Depreciation)-(Exemptincome)</t>
        </r>
      </text>
    </comment>
    <comment ref="I39" authorId="0">
      <text>
        <r>
          <rPr>
            <b/>
            <sz val="9"/>
            <color indexed="81"/>
            <rFont val="Tahoma"/>
            <family val="2"/>
          </rPr>
          <t>X230T:</t>
        </r>
        <r>
          <rPr>
            <sz val="9"/>
            <color indexed="81"/>
            <rFont val="Tahoma"/>
            <family val="2"/>
          </rPr>
          <t xml:space="preserve">
REBITDA utilisé</t>
        </r>
      </text>
    </comment>
    <comment ref="H44" authorId="0">
      <text>
        <r>
          <rPr>
            <b/>
            <sz val="9"/>
            <color indexed="81"/>
            <rFont val="Tahoma"/>
            <family val="2"/>
          </rPr>
          <t>X230T:</t>
        </r>
        <r>
          <rPr>
            <sz val="9"/>
            <color indexed="81"/>
            <rFont val="Tahoma"/>
            <family val="2"/>
          </rPr>
          <t xml:space="preserve">
Dividende reçue - dividende taxable ? (-135000000) car l'année d'après c'est impossible car 173 millions alors que seulement 22 de dividendes reçues…
</t>
        </r>
      </text>
    </comment>
  </commentList>
</comments>
</file>

<file path=xl/sharedStrings.xml><?xml version="1.0" encoding="utf-8"?>
<sst xmlns="http://schemas.openxmlformats.org/spreadsheetml/2006/main" count="233" uniqueCount="101">
  <si>
    <t>Compte d'exploitation</t>
  </si>
  <si>
    <t>EBIT</t>
  </si>
  <si>
    <t>x Ratio de référence</t>
  </si>
  <si>
    <t>Charges des dettes (650)</t>
  </si>
  <si>
    <t>Réductions de valeur sur actifs circulants (651)</t>
  </si>
  <si>
    <t>Autres charges financières (652/9)</t>
  </si>
  <si>
    <t>Amortissements et réductions de valeur
sur frais d’établissement, sur
immobilisations incorporelles et corporelles (630)</t>
  </si>
  <si>
    <t>Réductions de valeur sur stocks, sur commandes en
cours d’exécution et sur créances commerciales :
dotations (reprises) (631/4)</t>
  </si>
  <si>
    <t>Amortissements et réductions de valeur exceptionnels sur frais d’établissement, sur immobilisations incorporelles et corporelles (660)</t>
  </si>
  <si>
    <t>Résultat imposable avant impôt (9903)</t>
  </si>
  <si>
    <t>(Autres produits financiers) (752/9)</t>
  </si>
  <si>
    <t>(Reprises d’amortissements et de réductions de valeur sur immobilisations incorporelles et corporelles) (760)</t>
  </si>
  <si>
    <t>Déduction maximale autorisée</t>
  </si>
  <si>
    <t xml:space="preserve">Charges d'intérêts non déductibles </t>
  </si>
  <si>
    <t>Capitaux propres (10/15)</t>
  </si>
  <si>
    <t>(Produits des immobilisations financières) (750)</t>
  </si>
  <si>
    <t>Conclusion</t>
  </si>
  <si>
    <t xml:space="preserve">Difficulté : comment prendre en compte l'EBITDA négatif </t>
  </si>
  <si>
    <t>Charges d'intérêts non déductibles reportées</t>
  </si>
  <si>
    <t>Principe de l'ATAD</t>
  </si>
  <si>
    <t>Exceptions ATAD</t>
  </si>
  <si>
    <t>PLAN</t>
  </si>
  <si>
    <t>MODE DE CALCUL Thin Cap</t>
  </si>
  <si>
    <t>2) Exception de report</t>
  </si>
  <si>
    <t>Quid en cas de ratio négatif ?</t>
  </si>
  <si>
    <t>Quid des dividendes du groupe?</t>
  </si>
  <si>
    <t>Compte d'exploitation consolidé</t>
  </si>
  <si>
    <t>Le groupe peut-il utiliser le report en avant?</t>
  </si>
  <si>
    <t>Ratio intérêts/EBITDA du groupe</t>
  </si>
  <si>
    <t>Même méthode de prise en compte des intérêts du groupe et de l'entité?</t>
  </si>
  <si>
    <t>Possible de combiner le report en avant et le ratio groupe intérêt/EBITDA?</t>
  </si>
  <si>
    <t>REBITDA peut-il être pris en compte?</t>
  </si>
  <si>
    <t>Le ratio groupe intérêt/EBITDA n'aurait aucune influence</t>
  </si>
  <si>
    <t>Difficulté :</t>
  </si>
  <si>
    <t>1. Les surcoûts d'emprunt sont déductibles au titre de la période d'imposition au cours de laquelle ils ont été engagés mais uniquement à hauteur de 30 % du bénéfice avant intérêts, impôts, dépréciations et amortissements (EBITDA) du contribuable.</t>
  </si>
  <si>
    <t>Article</t>
  </si>
  <si>
    <t>3. Par dérogation au paragraphe 1, le contribuable peut se voir autoriser à: a) déduire les surcoûts d'emprunt à hauteur de 3 000 000 EUR;</t>
  </si>
  <si>
    <t xml:space="preserve">5. Lorsque le contribuable est membre d'un groupe consolidé à des fins de comptabilité financière, il peut se voir autoriser soit: b) à déduire les surcoûts d'emprunt pour un montant supérieur à celui qu'il serait en droit de déduire en vertu du
paragraphe 1. Cette limite plus élevée applicable à la déductibilité des surcoûts d'emprunt est fixée par référence au
groupe consolidé à des fins de comptabilité financière, dont le contribuable est membre, et est calculée en deux
étapes:
i) la première étape consiste à déterminer le ratio du groupe en divisant les surcoûts d'emprunt du groupe vis-à-vis
de tiers par l'EBITDA du groupe; et
ii) dans un deuxième temps, le ratio du groupe est multiplié par l'EBITDA du contribuable calculé conformément au
paragraphe 2. </t>
  </si>
  <si>
    <t>6. L'État membre du contribuable peut prévoir des règles permettant: a) de reporter sur des exercices futurs, sans limite de temps, les surcoûts d'emprunt qui ne peuvent être pas déduits pendant la période d'imposition en cours en vertu des paragraphes 1 à 5; b) de reporter sur des exercices futurs, sans limite de temps, et sur trois exercices antérieurs au maximum, les surcoûts d'emprunt qui ne peuvent pas être déduits pendant la période d'imposition en cours en vertu des paragraphes 1 à 5; ou c) de reporter sur des exercices futurs, sans limite de temps, les surcoûts d'emprunt et, dans une limite de cinq ans maximum, la capacité inemployée de déduction des intérêts, lorsque celle-ci ne peut intervenir pendant la période d'imposition en cours en vertu des paragraphes 1 à 5.</t>
  </si>
  <si>
    <t>3) Exception du groupe : ratio intérêts/EBITDA</t>
  </si>
  <si>
    <t>3) Exception du groupe : Fonds propres sur Actif (equity escape)</t>
  </si>
  <si>
    <t>5. Lorsque le contribuable est membre d'un groupe consolidé à des fins de comptabilité financière, il peut se voir autoriser soit: a) à déduire l'intégralité des surcoûts d'emprunt s'il peut démontrer que le ratio entre ses fonds propres et l'ensemble de ses actifs est égal ou supérieur au ratio équivalent du groupe, pour autant que les conditions suivantes soient remplies: i) le ratio entre les fonds propres d'un contribuable et l'ensemble de ses actifs est considéré comme égal au ratio équivalent du groupe si le ratio entre les fonds propres du contribuable et l'ensemble de ses actifs est inférieur de deux points de pourcentage au maximum; et ii) l'ensemble des actifs et des passifs sont estimés selon la même méthode que celle utilisée dans les états financiers consolidés visés au paragraphe 8;</t>
  </si>
  <si>
    <t>Actif</t>
  </si>
  <si>
    <t>Ratio</t>
  </si>
  <si>
    <t>Nouvelle déduction maximale autorisée</t>
  </si>
  <si>
    <t>Déduction maximale autorisée pour l'entité</t>
  </si>
  <si>
    <t>Charges d'intérêts non déductibles  pour l'entité</t>
  </si>
  <si>
    <t>Remarques</t>
  </si>
  <si>
    <t>Difficulté pour l'entreprise d'obtenir le même ratio tout en déduisant un maximum d'intérêt</t>
  </si>
  <si>
    <t>1)Calcul règles de base : les 30% de l'EBITDA et la limite des 3 millions</t>
  </si>
  <si>
    <t>1)bis Règles de base - 30% du groupe</t>
  </si>
  <si>
    <t>Différence entre les ratios</t>
  </si>
  <si>
    <t>1. al 2 : Aux fins du présent article, les États membres ont la faculté de considérer également comme contribuable: a) une entité ayant la possibilité ou l'obligation d'appliquer les règles pour le compte d'un groupe, tel qu'il est défini en droit fiscal national; b) une entité d'un groupe, telle qu'elle est définie dans le droit fiscal national, qui ne consolide pas les résultats de ses membres à des fins fiscales. Dans cette situation, les surcoûts d'emprunt et l'EBITDA peuvent être calculés au niveau du groupe, en englobant les résultats de tous ses membres.</t>
  </si>
  <si>
    <t>L'utilisation de l'ebitda et des intérêts du groupe permet de déduire plus</t>
  </si>
  <si>
    <t>Possibilité de prendre seulement l'EBITDA du groupe et les intérêts de l'entité?</t>
  </si>
  <si>
    <t>Remarque :</t>
  </si>
  <si>
    <t>Déduction maximale autorisée avec l'EBITDA et intérêts du groupe</t>
  </si>
  <si>
    <t>Charges d'intérêts non déductibles  avec l'EBITDA et intérêts du groupe</t>
  </si>
  <si>
    <t>Possibilité en 2015 d'utiliser la capacité de déduction pour déduire 40% de ses charges non déductibles antérieures</t>
  </si>
  <si>
    <t xml:space="preserve">UTILISATION DE L'EBITDA ET DES CHARGES D'INTERÊTS DU GROUPE </t>
  </si>
  <si>
    <t>UTILISATION DU RATIO INTERETS/EBITDA DU GROUPE POUR CALCULER LES NOUVELLES DEDUCTIONS POSSIBLES</t>
  </si>
  <si>
    <t>CHIFFRES CONSOLIDES</t>
  </si>
  <si>
    <t>Données</t>
  </si>
  <si>
    <t>Ai-je pris les intérêts pour des tiers?</t>
  </si>
  <si>
    <t>MODE DE CALCUL EBIT/EBITDA+EBITDA européen</t>
  </si>
  <si>
    <t>(Produits des actifs circulants) (751)</t>
  </si>
  <si>
    <t>OPTION 1 : UTILISATION DU REPORT DE CHARGES D'INTERETS NON DEDUCTIBLES</t>
  </si>
  <si>
    <t>Impossibilité d'utiliser le report en utilsant la moyenne de l'EBITDA en cours et antérieur  ?</t>
  </si>
  <si>
    <t>Application de l'ATAD à AbInBev</t>
  </si>
  <si>
    <t>Dimitri Vitale</t>
  </si>
  <si>
    <t>750-RDT</t>
  </si>
  <si>
    <t>Surcout</t>
  </si>
  <si>
    <t>EBITDA ATAD selon Lionel Servais</t>
  </si>
  <si>
    <t>Revenus exonérés (RDT)</t>
  </si>
  <si>
    <t>EBITDA belge</t>
  </si>
  <si>
    <t xml:space="preserve">Déduction maximale autorisée </t>
  </si>
  <si>
    <t xml:space="preserve">Surcoût d'emprunt </t>
  </si>
  <si>
    <t>UTILISATION DE L'EBITDA EUROPÉEN</t>
  </si>
  <si>
    <t xml:space="preserve">EBITDA ATAD </t>
  </si>
  <si>
    <t>Charges d'intérêts non déductibles</t>
  </si>
  <si>
    <t>OPTION 2 : CARRY FORWARD + CARRY BACK</t>
  </si>
  <si>
    <t xml:space="preserve">Charges d'intérêts non déductibles reportées en avant </t>
  </si>
  <si>
    <t xml:space="preserve">Charges d'intérêts non déductibles reportées en arrière </t>
  </si>
  <si>
    <t>OPTION 3 : CARRY FORWARD (surcoûts + capacité déductive)</t>
  </si>
  <si>
    <t>Charges d'intérêts non déductibles reportées avant le report de déduction</t>
  </si>
  <si>
    <t>Déduction maximale autorisée reportée</t>
  </si>
  <si>
    <t>Charges d'intérêts non déductibles reportées après report de déduction</t>
  </si>
  <si>
    <t>²</t>
  </si>
  <si>
    <t xml:space="preserve">(Produits des immobilisations financières) </t>
  </si>
  <si>
    <t>Résultat imposable avant impôt</t>
  </si>
  <si>
    <t xml:space="preserve">(Produits des actifs circulants) </t>
  </si>
  <si>
    <t xml:space="preserve">(Autres produits financiers) </t>
  </si>
  <si>
    <t xml:space="preserve">Charges des dettes </t>
  </si>
  <si>
    <t xml:space="preserve">Réductions de valeur sur actifs circulants </t>
  </si>
  <si>
    <t xml:space="preserve">Autres charges financières </t>
  </si>
  <si>
    <t xml:space="preserve">Amortissements et réductions de valeur
sur frais d’établissement, sur
immobilisations incorporelles et corporelles </t>
  </si>
  <si>
    <t xml:space="preserve">Réductions de valeur sur stocks, sur commandes en
cours d’exécution et sur créances commerciales :
dotations (reprises) </t>
  </si>
  <si>
    <t xml:space="preserve">Amortissements et réductions de valeur exceptionnels sur frais d’établissement, sur immobilisations incorporelles et corporelles </t>
  </si>
  <si>
    <t xml:space="preserve">(Reprises d’amortissements et de réductions de valeur sur immobilisations incorporelles et corporelles) </t>
  </si>
  <si>
    <t>Revenus exonérés (dividendes)</t>
  </si>
  <si>
    <t>EBITDA consolidé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</si>
</sst>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scheme val="minor"/>
    </font>
    <font>
      <sz val="11"/>
      <color theme="1"/>
      <name val="Calibri"/>
      <family val="2"/>
      <scheme val="minor"/>
    </font>
    <font>
      <b/>
      <sz val="14"/>
      <color rgb="FF000000"/>
      <name val="Calibri"/>
      <family val="2"/>
    </font>
    <font>
      <b/>
      <sz val="12"/>
      <color rgb="FF000000"/>
      <name val="Calibri"/>
      <family val="2"/>
    </font>
    <font>
      <b/>
      <sz val="12"/>
      <color rgb="FF000000"/>
      <name val="Calibri"/>
      <family val="2"/>
    </font>
    <font>
      <b/>
      <sz val="11"/>
      <name val="Calibri"/>
      <family val="2"/>
      <scheme val="minor"/>
    </font>
    <font>
      <sz val="12"/>
      <color rgb="FF000000"/>
      <name val="Calibri"/>
      <family val="2"/>
      <scheme val="minor"/>
    </font>
    <font>
      <b/>
      <sz val="12"/>
      <color rgb="FF000000"/>
      <name val="Calibri"/>
      <family val="2"/>
      <scheme val="minor"/>
    </font>
    <font>
      <b/>
      <sz val="14"/>
      <color rgb="FF000000"/>
      <name val="Calibri"/>
      <family val="2"/>
    </font>
    <font>
      <sz val="9"/>
      <color indexed="81"/>
      <name val="Tahoma"/>
      <family val="2"/>
    </font>
    <font>
      <b/>
      <sz val="9"/>
      <color indexed="81"/>
      <name val="Tahoma"/>
      <family val="2"/>
    </font>
    <font>
      <u/>
      <sz val="11"/>
      <color theme="10"/>
      <name val="Calibri"/>
      <family val="2"/>
      <scheme val="minor"/>
    </font>
    <font>
      <sz val="22"/>
      <color theme="1"/>
      <name val="Calibri"/>
      <family val="2"/>
      <scheme val="minor"/>
    </font>
    <font>
      <sz val="9"/>
      <color indexed="81"/>
      <name val="Tahoma"/>
      <charset val="1"/>
    </font>
    <font>
      <b/>
      <sz val="9"/>
      <color indexed="81"/>
      <name val="Tahoma"/>
      <charset val="1"/>
    </font>
    <font>
      <sz val="11"/>
      <color rgb="FF000000"/>
      <name val="Calibri"/>
      <family val="2"/>
    </font>
    <font>
      <b/>
      <sz val="11"/>
      <color rgb="FF000000"/>
      <name val="Calibri"/>
      <family val="2"/>
      <scheme val="minor"/>
    </font>
    <font>
      <sz val="11"/>
      <color rgb="FF000000"/>
      <name val="Calibri"/>
      <family val="2"/>
      <scheme val="minor"/>
    </font>
  </fonts>
  <fills count="14">
    <fill>
      <patternFill patternType="none"/>
    </fill>
    <fill>
      <patternFill patternType="gray125"/>
    </fill>
    <fill>
      <patternFill patternType="solid">
        <fgColor rgb="FFFFD966"/>
        <bgColor rgb="FFFFD966"/>
      </patternFill>
    </fill>
    <fill>
      <patternFill patternType="solid">
        <fgColor rgb="FFE5B8B7"/>
        <bgColor rgb="FFE5B8B7"/>
      </patternFill>
    </fill>
    <fill>
      <patternFill patternType="solid">
        <fgColor rgb="FFB8CCE4"/>
        <bgColor rgb="FFB8CCE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
      <patternFill patternType="solid">
        <fgColor theme="4" tint="0.79998168889431442"/>
        <bgColor rgb="FFB8CCE4"/>
      </patternFill>
    </fill>
    <fill>
      <patternFill patternType="solid">
        <fgColor theme="5" tint="0.79998168889431442"/>
        <bgColor rgb="FFE5B8B7"/>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rgb="FF000000"/>
      </right>
      <top/>
      <bottom style="thin">
        <color rgb="FF000000"/>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13">
    <xf numFmtId="0" fontId="0" fillId="0" borderId="0" xfId="0"/>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right"/>
    </xf>
    <xf numFmtId="0" fontId="5" fillId="4" borderId="1" xfId="0" applyFont="1" applyFill="1" applyBorder="1" applyAlignment="1"/>
    <xf numFmtId="0" fontId="6" fillId="0" borderId="1" xfId="0" applyFont="1" applyBorder="1"/>
    <xf numFmtId="0" fontId="6" fillId="0" borderId="1" xfId="0" applyFont="1" applyBorder="1" applyAlignment="1">
      <alignment wrapText="1"/>
    </xf>
    <xf numFmtId="0" fontId="7" fillId="3" borderId="1" xfId="0" applyFont="1" applyFill="1" applyBorder="1"/>
    <xf numFmtId="0" fontId="6" fillId="0" borderId="1" xfId="0" applyFont="1" applyBorder="1" applyAlignment="1"/>
    <xf numFmtId="164" fontId="4" fillId="0" borderId="1" xfId="0" applyNumberFormat="1" applyFont="1" applyBorder="1" applyAlignment="1">
      <alignment horizontal="right"/>
    </xf>
    <xf numFmtId="9" fontId="3" fillId="0" borderId="1" xfId="1" applyFont="1" applyBorder="1" applyAlignment="1">
      <alignment horizontal="right"/>
    </xf>
    <xf numFmtId="0" fontId="0" fillId="0" borderId="0" xfId="0" applyAlignment="1">
      <alignment wrapText="1"/>
    </xf>
    <xf numFmtId="164" fontId="4" fillId="0" borderId="1" xfId="0" applyNumberFormat="1" applyFont="1" applyBorder="1" applyAlignment="1">
      <alignment horizontal="right" wrapText="1"/>
    </xf>
    <xf numFmtId="0" fontId="8" fillId="2" borderId="3" xfId="0" applyFont="1" applyFill="1" applyBorder="1" applyAlignment="1">
      <alignment horizontal="center" vertical="center"/>
    </xf>
    <xf numFmtId="0" fontId="0" fillId="0" borderId="2" xfId="0" applyBorder="1"/>
    <xf numFmtId="0" fontId="0" fillId="0" borderId="2" xfId="0" applyBorder="1" applyAlignment="1">
      <alignment wrapText="1"/>
    </xf>
    <xf numFmtId="0" fontId="11" fillId="0" borderId="0" xfId="2" quotePrefix="1"/>
    <xf numFmtId="0" fontId="11" fillId="0" borderId="0" xfId="2" quotePrefix="1" applyAlignment="1">
      <alignment wrapText="1"/>
    </xf>
    <xf numFmtId="0" fontId="3" fillId="0" borderId="0" xfId="0" applyFont="1" applyFill="1" applyBorder="1" applyAlignment="1">
      <alignment horizontal="center" vertical="center"/>
    </xf>
    <xf numFmtId="0" fontId="0" fillId="0" borderId="4" xfId="0" applyBorder="1"/>
    <xf numFmtId="0" fontId="0" fillId="0" borderId="6" xfId="0" applyBorder="1" applyAlignment="1">
      <alignment wrapText="1"/>
    </xf>
    <xf numFmtId="0" fontId="0" fillId="0" borderId="6" xfId="0" applyBorder="1"/>
    <xf numFmtId="0" fontId="0" fillId="0" borderId="6" xfId="0" applyFill="1" applyBorder="1" applyAlignment="1">
      <alignment wrapText="1"/>
    </xf>
    <xf numFmtId="0" fontId="0" fillId="0" borderId="5" xfId="0" applyFill="1" applyBorder="1" applyAlignment="1">
      <alignment wrapText="1"/>
    </xf>
    <xf numFmtId="0" fontId="2" fillId="2" borderId="3" xfId="0" applyFont="1" applyFill="1" applyBorder="1" applyAlignment="1">
      <alignment horizontal="center" vertical="center"/>
    </xf>
    <xf numFmtId="0" fontId="0" fillId="0" borderId="2" xfId="0" applyBorder="1" applyAlignment="1"/>
    <xf numFmtId="0" fontId="11" fillId="0" borderId="0" xfId="2" applyAlignment="1">
      <alignment wrapText="1"/>
    </xf>
    <xf numFmtId="4" fontId="3" fillId="5" borderId="1" xfId="0" applyNumberFormat="1" applyFont="1" applyFill="1" applyBorder="1" applyAlignment="1">
      <alignment horizontal="right"/>
    </xf>
    <xf numFmtId="164" fontId="3" fillId="7" borderId="1" xfId="0" applyNumberFormat="1" applyFont="1" applyFill="1" applyBorder="1" applyAlignment="1">
      <alignment horizontal="right"/>
    </xf>
    <xf numFmtId="0" fontId="5" fillId="4" borderId="3" xfId="0" applyFont="1" applyFill="1" applyBorder="1" applyAlignment="1"/>
    <xf numFmtId="0" fontId="6" fillId="0" borderId="3" xfId="0" applyFont="1" applyBorder="1" applyAlignment="1">
      <alignment wrapText="1"/>
    </xf>
    <xf numFmtId="0" fontId="5" fillId="4" borderId="2" xfId="0" applyFont="1" applyFill="1" applyBorder="1" applyAlignment="1"/>
    <xf numFmtId="9" fontId="3" fillId="5" borderId="1" xfId="1" applyFont="1" applyFill="1" applyBorder="1" applyAlignment="1">
      <alignment horizontal="right"/>
    </xf>
    <xf numFmtId="0" fontId="0" fillId="0" borderId="0" xfId="0" applyBorder="1"/>
    <xf numFmtId="0" fontId="0" fillId="0" borderId="0" xfId="0" applyFill="1" applyBorder="1" applyAlignment="1">
      <alignment wrapText="1"/>
    </xf>
    <xf numFmtId="0" fontId="0" fillId="0" borderId="7" xfId="0" applyBorder="1"/>
    <xf numFmtId="0" fontId="0" fillId="0" borderId="7" xfId="0" applyBorder="1" applyAlignment="1">
      <alignment wrapText="1"/>
    </xf>
    <xf numFmtId="9" fontId="3" fillId="7" borderId="1" xfId="1" applyFont="1" applyFill="1" applyBorder="1" applyAlignment="1">
      <alignment horizontal="right"/>
    </xf>
    <xf numFmtId="0" fontId="5" fillId="4" borderId="9" xfId="0" applyFont="1" applyFill="1" applyBorder="1" applyAlignment="1">
      <alignment wrapText="1"/>
    </xf>
    <xf numFmtId="0" fontId="11" fillId="4" borderId="1" xfId="2" applyFill="1" applyBorder="1" applyAlignment="1"/>
    <xf numFmtId="0" fontId="12" fillId="6" borderId="0" xfId="0" applyFont="1" applyFill="1"/>
    <xf numFmtId="164" fontId="0" fillId="0" borderId="0" xfId="0" applyNumberFormat="1"/>
    <xf numFmtId="4" fontId="0" fillId="0" borderId="0" xfId="0" applyNumberFormat="1"/>
    <xf numFmtId="0" fontId="5" fillId="8" borderId="1" xfId="0" applyFont="1" applyFill="1" applyBorder="1" applyAlignment="1"/>
    <xf numFmtId="0" fontId="7" fillId="9" borderId="1" xfId="0" applyFont="1" applyFill="1" applyBorder="1"/>
    <xf numFmtId="4" fontId="3" fillId="7" borderId="1" xfId="0" applyNumberFormat="1" applyFont="1" applyFill="1" applyBorder="1" applyAlignment="1">
      <alignment horizontal="right"/>
    </xf>
    <xf numFmtId="9" fontId="3" fillId="10" borderId="1" xfId="1" applyFont="1" applyFill="1" applyBorder="1" applyAlignment="1">
      <alignment horizontal="right"/>
    </xf>
    <xf numFmtId="0" fontId="2" fillId="2" borderId="2" xfId="0" applyFont="1" applyFill="1" applyBorder="1" applyAlignment="1">
      <alignment horizontal="center" vertical="center"/>
    </xf>
    <xf numFmtId="0" fontId="3" fillId="0" borderId="2" xfId="0" applyFont="1" applyBorder="1" applyAlignment="1">
      <alignment horizontal="center" vertical="center"/>
    </xf>
    <xf numFmtId="9" fontId="0" fillId="0" borderId="0" xfId="1" applyFont="1"/>
    <xf numFmtId="164" fontId="15" fillId="7" borderId="12" xfId="0" applyNumberFormat="1" applyFont="1" applyFill="1" applyBorder="1" applyAlignment="1">
      <alignment horizontal="right"/>
    </xf>
    <xf numFmtId="164" fontId="15" fillId="0" borderId="1" xfId="0" applyNumberFormat="1" applyFont="1" applyBorder="1" applyAlignment="1">
      <alignment horizontal="right"/>
    </xf>
    <xf numFmtId="164" fontId="15" fillId="12" borderId="1" xfId="0" applyNumberFormat="1" applyFont="1" applyFill="1" applyBorder="1" applyAlignment="1">
      <alignment horizontal="right"/>
    </xf>
    <xf numFmtId="9" fontId="15" fillId="0" borderId="1" xfId="1" applyFont="1" applyBorder="1" applyAlignment="1">
      <alignment horizontal="right"/>
    </xf>
    <xf numFmtId="164" fontId="15" fillId="13" borderId="1" xfId="0" applyNumberFormat="1" applyFont="1" applyFill="1" applyBorder="1" applyAlignment="1">
      <alignment horizontal="right"/>
    </xf>
    <xf numFmtId="164" fontId="15" fillId="10" borderId="1" xfId="0" applyNumberFormat="1" applyFont="1" applyFill="1" applyBorder="1" applyAlignment="1">
      <alignment horizontal="right"/>
    </xf>
    <xf numFmtId="0" fontId="7" fillId="3" borderId="1" xfId="0" applyFont="1" applyFill="1" applyBorder="1" applyAlignment="1">
      <alignment wrapText="1"/>
    </xf>
    <xf numFmtId="0" fontId="16" fillId="9" borderId="2" xfId="0" applyFont="1" applyFill="1" applyBorder="1" applyAlignment="1">
      <alignment wrapText="1"/>
    </xf>
    <xf numFmtId="164" fontId="15" fillId="12" borderId="12" xfId="0" applyNumberFormat="1" applyFont="1" applyFill="1" applyBorder="1" applyAlignment="1">
      <alignment horizontal="right"/>
    </xf>
    <xf numFmtId="164" fontId="15" fillId="10" borderId="12" xfId="0" applyNumberFormat="1" applyFont="1" applyFill="1" applyBorder="1" applyAlignment="1">
      <alignment horizontal="right"/>
    </xf>
    <xf numFmtId="164" fontId="15" fillId="7" borderId="1" xfId="0" applyNumberFormat="1" applyFont="1" applyFill="1" applyBorder="1" applyAlignment="1">
      <alignment horizontal="right"/>
    </xf>
    <xf numFmtId="0" fontId="0" fillId="0" borderId="2" xfId="0" applyBorder="1" applyAlignment="1">
      <alignment horizontal="center"/>
    </xf>
    <xf numFmtId="164" fontId="15" fillId="12" borderId="17" xfId="0" applyNumberFormat="1" applyFont="1" applyFill="1" applyBorder="1" applyAlignment="1">
      <alignment horizontal="right"/>
    </xf>
    <xf numFmtId="164" fontId="15" fillId="10" borderId="17" xfId="0" applyNumberFormat="1" applyFont="1" applyFill="1" applyBorder="1" applyAlignment="1">
      <alignment horizontal="right"/>
    </xf>
    <xf numFmtId="0" fontId="5" fillId="4" borderId="16" xfId="0" applyFont="1" applyFill="1" applyBorder="1" applyAlignment="1">
      <alignment wrapText="1"/>
    </xf>
    <xf numFmtId="164" fontId="15" fillId="12" borderId="9" xfId="0" applyNumberFormat="1" applyFont="1" applyFill="1" applyBorder="1" applyAlignment="1">
      <alignment horizontal="right"/>
    </xf>
    <xf numFmtId="164" fontId="15" fillId="12" borderId="19" xfId="0" applyNumberFormat="1" applyFont="1" applyFill="1" applyBorder="1" applyAlignment="1">
      <alignment horizontal="right"/>
    </xf>
    <xf numFmtId="0" fontId="7" fillId="9" borderId="3" xfId="0" applyFont="1" applyFill="1" applyBorder="1"/>
    <xf numFmtId="164" fontId="3" fillId="0" borderId="3" xfId="0" applyNumberFormat="1" applyFont="1" applyBorder="1" applyAlignment="1">
      <alignment horizontal="right"/>
    </xf>
    <xf numFmtId="164" fontId="15" fillId="0" borderId="3" xfId="0" applyNumberFormat="1" applyFont="1" applyBorder="1" applyAlignment="1">
      <alignment horizontal="right"/>
    </xf>
    <xf numFmtId="9" fontId="15" fillId="0" borderId="18" xfId="1" applyFont="1" applyBorder="1" applyAlignment="1">
      <alignment horizontal="right"/>
    </xf>
    <xf numFmtId="4" fontId="2" fillId="11" borderId="2" xfId="0" applyNumberFormat="1" applyFont="1" applyFill="1" applyBorder="1" applyAlignment="1">
      <alignment horizontal="center" vertical="center"/>
    </xf>
    <xf numFmtId="4" fontId="2" fillId="11" borderId="11" xfId="0" applyNumberFormat="1" applyFont="1" applyFill="1" applyBorder="1" applyAlignment="1">
      <alignment horizontal="center" vertical="center"/>
    </xf>
    <xf numFmtId="4" fontId="2" fillId="11" borderId="8" xfId="0" applyNumberFormat="1" applyFont="1" applyFill="1" applyBorder="1" applyAlignment="1">
      <alignment horizontal="center" vertical="center"/>
    </xf>
    <xf numFmtId="4" fontId="2" fillId="11" borderId="10" xfId="0" applyNumberFormat="1" applyFont="1" applyFill="1" applyBorder="1" applyAlignment="1">
      <alignment horizontal="center" vertical="center"/>
    </xf>
    <xf numFmtId="164" fontId="15" fillId="0" borderId="17" xfId="0" applyNumberFormat="1" applyFont="1" applyBorder="1" applyAlignment="1">
      <alignment horizontal="right"/>
    </xf>
    <xf numFmtId="164" fontId="15" fillId="0" borderId="14" xfId="0" applyNumberFormat="1" applyFont="1" applyBorder="1" applyAlignment="1">
      <alignment horizontal="right"/>
    </xf>
    <xf numFmtId="4" fontId="2" fillId="11" borderId="20" xfId="0" applyNumberFormat="1"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64" fontId="15" fillId="0" borderId="2" xfId="0" applyNumberFormat="1" applyFont="1" applyBorder="1" applyAlignment="1">
      <alignment horizontal="right"/>
    </xf>
    <xf numFmtId="0" fontId="17" fillId="0" borderId="1" xfId="0" applyFont="1" applyBorder="1"/>
    <xf numFmtId="0" fontId="17" fillId="0" borderId="9" xfId="0" applyFont="1" applyBorder="1"/>
    <xf numFmtId="164" fontId="15" fillId="7" borderId="27" xfId="0" applyNumberFormat="1" applyFont="1" applyFill="1" applyBorder="1" applyAlignment="1">
      <alignment horizontal="right"/>
    </xf>
    <xf numFmtId="9" fontId="15" fillId="7" borderId="15" xfId="1" applyFont="1" applyFill="1" applyBorder="1" applyAlignment="1">
      <alignment horizontal="right"/>
    </xf>
    <xf numFmtId="0" fontId="5" fillId="4" borderId="4" xfId="0" applyFont="1" applyFill="1" applyBorder="1" applyAlignment="1"/>
    <xf numFmtId="0" fontId="2" fillId="2" borderId="1" xfId="0" applyFont="1" applyFill="1" applyBorder="1" applyAlignment="1">
      <alignment horizontal="center" vertical="center" wrapText="1"/>
    </xf>
    <xf numFmtId="0" fontId="16" fillId="3" borderId="1" xfId="0" applyFont="1" applyFill="1" applyBorder="1" applyAlignment="1">
      <alignment wrapText="1"/>
    </xf>
    <xf numFmtId="9" fontId="0" fillId="12" borderId="2" xfId="0" applyNumberFormat="1" applyFill="1" applyBorder="1"/>
    <xf numFmtId="9" fontId="15" fillId="0" borderId="17" xfId="1" applyFont="1" applyBorder="1" applyAlignment="1">
      <alignment horizontal="right"/>
    </xf>
    <xf numFmtId="4" fontId="2" fillId="11" borderId="7" xfId="0" applyNumberFormat="1" applyFont="1" applyFill="1" applyBorder="1" applyAlignment="1">
      <alignment vertical="center"/>
    </xf>
    <xf numFmtId="4" fontId="2" fillId="11" borderId="13" xfId="0" applyNumberFormat="1" applyFont="1" applyFill="1" applyBorder="1" applyAlignment="1">
      <alignment vertical="center"/>
    </xf>
    <xf numFmtId="0" fontId="5" fillId="4" borderId="2" xfId="0" applyFont="1" applyFill="1" applyBorder="1" applyAlignment="1">
      <alignment wrapText="1"/>
    </xf>
    <xf numFmtId="9" fontId="15" fillId="0" borderId="2" xfId="1" applyFont="1" applyBorder="1" applyAlignment="1">
      <alignment horizontal="right"/>
    </xf>
    <xf numFmtId="164" fontId="15" fillId="12" borderId="2" xfId="0" applyNumberFormat="1" applyFont="1" applyFill="1" applyBorder="1" applyAlignment="1">
      <alignment horizontal="right"/>
    </xf>
    <xf numFmtId="164" fontId="15" fillId="7" borderId="2" xfId="0" applyNumberFormat="1" applyFont="1" applyFill="1" applyBorder="1" applyAlignment="1">
      <alignment horizontal="right"/>
    </xf>
    <xf numFmtId="0" fontId="7" fillId="3" borderId="2" xfId="0" applyFont="1" applyFill="1" applyBorder="1"/>
    <xf numFmtId="164" fontId="15" fillId="10" borderId="2" xfId="0" applyNumberFormat="1" applyFont="1" applyFill="1" applyBorder="1" applyAlignment="1">
      <alignment horizontal="right"/>
    </xf>
    <xf numFmtId="4" fontId="2" fillId="11" borderId="28" xfId="0" applyNumberFormat="1" applyFont="1" applyFill="1" applyBorder="1" applyAlignment="1">
      <alignment vertical="center"/>
    </xf>
    <xf numFmtId="4" fontId="2" fillId="11" borderId="22" xfId="0" applyNumberFormat="1" applyFont="1" applyFill="1" applyBorder="1" applyAlignment="1">
      <alignment vertical="center"/>
    </xf>
    <xf numFmtId="4" fontId="2" fillId="11" borderId="2" xfId="0" applyNumberFormat="1" applyFont="1" applyFill="1" applyBorder="1" applyAlignment="1">
      <alignment vertical="center"/>
    </xf>
    <xf numFmtId="4" fontId="2" fillId="11" borderId="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6" fillId="0" borderId="2" xfId="0" applyFont="1" applyBorder="1"/>
    <xf numFmtId="0" fontId="6" fillId="0" borderId="2" xfId="0" applyFont="1" applyBorder="1" applyAlignment="1"/>
    <xf numFmtId="0" fontId="6" fillId="0" borderId="2" xfId="0" applyFont="1" applyBorder="1" applyAlignment="1">
      <alignment wrapText="1"/>
    </xf>
    <xf numFmtId="0" fontId="5" fillId="8" borderId="2" xfId="0" applyFont="1" applyFill="1" applyBorder="1" applyAlignment="1"/>
    <xf numFmtId="0" fontId="7" fillId="9" borderId="2" xfId="0" applyFont="1" applyFill="1" applyBorder="1"/>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FFCC"/>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0</xdr:col>
      <xdr:colOff>3052763</xdr:colOff>
      <xdr:row>19</xdr:row>
      <xdr:rowOff>152643</xdr:rowOff>
    </xdr:to>
    <xdr:pic>
      <xdr:nvPicPr>
        <xdr:cNvPr id="2" name="Image 1"/>
        <xdr:cNvPicPr>
          <a:picLocks noChangeAspect="1"/>
        </xdr:cNvPicPr>
      </xdr:nvPicPr>
      <xdr:blipFill>
        <a:blip xmlns:r="http://schemas.openxmlformats.org/officeDocument/2006/relationships" r:embed="rId1"/>
        <a:stretch>
          <a:fillRect/>
        </a:stretch>
      </xdr:blipFill>
      <xdr:spPr>
        <a:xfrm>
          <a:off x="0" y="381000"/>
          <a:ext cx="3052763" cy="3438768"/>
        </a:xfrm>
        <a:prstGeom prst="rect">
          <a:avLst/>
        </a:prstGeom>
      </xdr:spPr>
    </xdr:pic>
    <xdr:clientData/>
  </xdr:twoCellAnchor>
  <xdr:twoCellAnchor editAs="oneCell">
    <xdr:from>
      <xdr:col>1</xdr:col>
      <xdr:colOff>695325</xdr:colOff>
      <xdr:row>1</xdr:row>
      <xdr:rowOff>1</xdr:rowOff>
    </xdr:from>
    <xdr:to>
      <xdr:col>5</xdr:col>
      <xdr:colOff>608188</xdr:colOff>
      <xdr:row>19</xdr:row>
      <xdr:rowOff>95251</xdr:rowOff>
    </xdr:to>
    <xdr:pic>
      <xdr:nvPicPr>
        <xdr:cNvPr id="3" name="Image 2"/>
        <xdr:cNvPicPr>
          <a:picLocks noChangeAspect="1"/>
        </xdr:cNvPicPr>
      </xdr:nvPicPr>
      <xdr:blipFill>
        <a:blip xmlns:r="http://schemas.openxmlformats.org/officeDocument/2006/relationships" r:embed="rId2"/>
        <a:stretch>
          <a:fillRect/>
        </a:stretch>
      </xdr:blipFill>
      <xdr:spPr>
        <a:xfrm>
          <a:off x="8048625" y="238126"/>
          <a:ext cx="4646789" cy="3524250"/>
        </a:xfrm>
        <a:prstGeom prst="rect">
          <a:avLst/>
        </a:prstGeom>
      </xdr:spPr>
    </xdr:pic>
    <xdr:clientData/>
  </xdr:twoCellAnchor>
  <xdr:twoCellAnchor editAs="oneCell">
    <xdr:from>
      <xdr:col>0</xdr:col>
      <xdr:colOff>0</xdr:colOff>
      <xdr:row>22</xdr:row>
      <xdr:rowOff>0</xdr:rowOff>
    </xdr:from>
    <xdr:to>
      <xdr:col>1</xdr:col>
      <xdr:colOff>418560</xdr:colOff>
      <xdr:row>28</xdr:row>
      <xdr:rowOff>66524</xdr:rowOff>
    </xdr:to>
    <xdr:pic>
      <xdr:nvPicPr>
        <xdr:cNvPr id="4" name="Image 3"/>
        <xdr:cNvPicPr>
          <a:picLocks noChangeAspect="1"/>
        </xdr:cNvPicPr>
      </xdr:nvPicPr>
      <xdr:blipFill>
        <a:blip xmlns:r="http://schemas.openxmlformats.org/officeDocument/2006/relationships" r:embed="rId3"/>
        <a:stretch>
          <a:fillRect/>
        </a:stretch>
      </xdr:blipFill>
      <xdr:spPr>
        <a:xfrm>
          <a:off x="0" y="4238625"/>
          <a:ext cx="4323810" cy="12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TAD-Exe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Données"/>
      <sheetName val="1)Règles de base - 30% et 3M"/>
      <sheetName val="1)bis - 30% du groupe"/>
      <sheetName val="2) Report"/>
      <sheetName val="3) Consolidation - EBITDA"/>
      <sheetName val="3) Conso compt - equity escape"/>
      <sheetName val="Feuil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1" sqref="B11"/>
    </sheetView>
  </sheetViews>
  <sheetFormatPr baseColWidth="10" defaultRowHeight="15" x14ac:dyDescent="0.25"/>
  <cols>
    <col min="1" max="1" width="57.140625" bestFit="1" customWidth="1"/>
    <col min="2" max="2" width="11.42578125" customWidth="1"/>
  </cols>
  <sheetData>
    <row r="1" spans="1:1" ht="28.5" x14ac:dyDescent="0.45">
      <c r="A1" s="40" t="s">
        <v>68</v>
      </c>
    </row>
    <row r="2" spans="1:1" ht="28.5" x14ac:dyDescent="0.45">
      <c r="A2" s="40" t="s">
        <v>69</v>
      </c>
    </row>
    <row r="3" spans="1:1" ht="18.75" x14ac:dyDescent="0.25">
      <c r="A3" s="1" t="s">
        <v>21</v>
      </c>
    </row>
    <row r="4" spans="1:1" x14ac:dyDescent="0.25">
      <c r="A4" s="39" t="s">
        <v>62</v>
      </c>
    </row>
    <row r="5" spans="1:1" x14ac:dyDescent="0.25">
      <c r="A5" s="4" t="s">
        <v>19</v>
      </c>
    </row>
    <row r="6" spans="1:1" ht="30" x14ac:dyDescent="0.25">
      <c r="A6" s="17" t="s">
        <v>49</v>
      </c>
    </row>
    <row r="7" spans="1:1" x14ac:dyDescent="0.25">
      <c r="A7" s="16" t="s">
        <v>50</v>
      </c>
    </row>
    <row r="9" spans="1:1" x14ac:dyDescent="0.25">
      <c r="A9" s="4" t="s">
        <v>20</v>
      </c>
    </row>
    <row r="10" spans="1:1" x14ac:dyDescent="0.25">
      <c r="A10" s="16" t="s">
        <v>23</v>
      </c>
    </row>
    <row r="11" spans="1:1" x14ac:dyDescent="0.25">
      <c r="A11" s="17" t="s">
        <v>39</v>
      </c>
    </row>
    <row r="12" spans="1:1" ht="30" x14ac:dyDescent="0.25">
      <c r="A12" s="26" t="s">
        <v>40</v>
      </c>
    </row>
  </sheetData>
  <hyperlinks>
    <hyperlink ref="A6" location="'1)Règles de base - 30% et 3M'!A1" display="1)Calcul règles de base : les 30% de l'EBITDA et la limite des 3 millions"/>
    <hyperlink ref="A10" location="'2) Report'!A1" display="2) Exception de report"/>
    <hyperlink ref="A11" location="'3) Consolidation - EBITDA'!A1" display="3) Exception du groupe : ratio intérêts/EBITDA"/>
    <hyperlink ref="A12" location="'3) Conso compt - equity escape'!A1" display="3) Exception du groupe : Fonds propres sur Actif (equity escape)"/>
    <hyperlink ref="A7" location="'1)bis - 30% du groupe'!A1" display="1)bis Règles de base - 30% du groupe"/>
    <hyperlink ref="A4" location="Données!A1" display="Donné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80" zoomScaleNormal="80" workbookViewId="0">
      <selection activeCell="C26" sqref="C26"/>
    </sheetView>
  </sheetViews>
  <sheetFormatPr baseColWidth="10" defaultRowHeight="15" x14ac:dyDescent="0.25"/>
  <cols>
    <col min="1" max="1" width="58.5703125" bestFit="1" customWidth="1"/>
    <col min="3" max="3" width="36.7109375" bestFit="1" customWidth="1"/>
    <col min="8" max="8" width="27.28515625" bestFit="1" customWidth="1"/>
  </cols>
  <sheetData>
    <row r="1" spans="1:8" ht="18.75" x14ac:dyDescent="0.25">
      <c r="A1" s="1" t="s">
        <v>64</v>
      </c>
      <c r="C1" s="1" t="s">
        <v>22</v>
      </c>
      <c r="H1" s="1" t="s">
        <v>61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zoomScale="82" zoomScaleNormal="82" workbookViewId="0">
      <selection activeCell="F26" sqref="A1:F26"/>
    </sheetView>
  </sheetViews>
  <sheetFormatPr baseColWidth="10" defaultRowHeight="15" x14ac:dyDescent="0.25"/>
  <cols>
    <col min="1" max="1" width="55.85546875" customWidth="1"/>
    <col min="2" max="2" width="19.5703125" customWidth="1"/>
    <col min="3" max="3" width="20.28515625" customWidth="1"/>
    <col min="4" max="4" width="20.28515625" bestFit="1" customWidth="1"/>
    <col min="5" max="6" width="19.42578125" bestFit="1" customWidth="1"/>
    <col min="7" max="7" width="16.5703125" bestFit="1" customWidth="1"/>
    <col min="8" max="8" width="17.5703125" customWidth="1"/>
    <col min="9" max="9" width="16.140625" customWidth="1"/>
    <col min="10" max="10" width="19" customWidth="1"/>
    <col min="11" max="11" width="16.7109375" customWidth="1"/>
  </cols>
  <sheetData>
    <row r="1" spans="1:8" ht="18.75" x14ac:dyDescent="0.25">
      <c r="A1" s="1" t="s">
        <v>0</v>
      </c>
      <c r="B1" s="2">
        <v>2011</v>
      </c>
      <c r="C1" s="2">
        <v>2012</v>
      </c>
      <c r="D1" s="2">
        <v>2013</v>
      </c>
      <c r="E1" s="2">
        <v>2014</v>
      </c>
      <c r="F1" s="2">
        <v>2015</v>
      </c>
      <c r="H1" s="24" t="s">
        <v>35</v>
      </c>
    </row>
    <row r="2" spans="1:8" x14ac:dyDescent="0.25">
      <c r="A2" s="4" t="s">
        <v>9</v>
      </c>
      <c r="B2" s="51">
        <v>18490546293</v>
      </c>
      <c r="C2" s="51">
        <v>5978762715</v>
      </c>
      <c r="D2" s="51">
        <v>1748957436</v>
      </c>
      <c r="E2" s="51">
        <v>1674655942</v>
      </c>
      <c r="F2" s="51">
        <v>924636826</v>
      </c>
      <c r="H2" s="14" t="s">
        <v>34</v>
      </c>
    </row>
    <row r="3" spans="1:8" ht="15.75" x14ac:dyDescent="0.25">
      <c r="A3" s="5" t="s">
        <v>15</v>
      </c>
      <c r="B3" s="51">
        <f>-3567334670</f>
        <v>-3567334670</v>
      </c>
      <c r="C3" s="51">
        <v>-5947806104</v>
      </c>
      <c r="D3" s="51">
        <v>-1841075304</v>
      </c>
      <c r="E3" s="51">
        <v>-3186863787</v>
      </c>
      <c r="F3" s="51">
        <v>-2234056601</v>
      </c>
      <c r="H3" s="14" t="s">
        <v>36</v>
      </c>
    </row>
    <row r="4" spans="1:8" ht="15.75" x14ac:dyDescent="0.25">
      <c r="A4" s="5" t="s">
        <v>65</v>
      </c>
      <c r="B4" s="51">
        <v>-216991864</v>
      </c>
      <c r="C4" s="51">
        <v>-144380202</v>
      </c>
      <c r="D4" s="51">
        <v>-205247287</v>
      </c>
      <c r="E4" s="51">
        <v>-322419089</v>
      </c>
      <c r="F4" s="51">
        <v>-392501538</v>
      </c>
    </row>
    <row r="5" spans="1:8" ht="15.75" x14ac:dyDescent="0.25">
      <c r="A5" s="5" t="s">
        <v>10</v>
      </c>
      <c r="B5" s="51">
        <v>-1077115031</v>
      </c>
      <c r="C5" s="51">
        <v>-1302990692</v>
      </c>
      <c r="D5" s="51">
        <v>-1337013700</v>
      </c>
      <c r="E5" s="51">
        <v>-2326852138</v>
      </c>
      <c r="F5" s="51">
        <v>-4705785370</v>
      </c>
    </row>
    <row r="6" spans="1:8" ht="15.75" x14ac:dyDescent="0.25">
      <c r="A6" s="5" t="s">
        <v>3</v>
      </c>
      <c r="B6" s="51">
        <v>503577094</v>
      </c>
      <c r="C6" s="51">
        <v>522594084</v>
      </c>
      <c r="D6" s="51">
        <v>547895419</v>
      </c>
      <c r="E6" s="51">
        <v>727699015</v>
      </c>
      <c r="F6" s="51">
        <v>808580436</v>
      </c>
    </row>
    <row r="7" spans="1:8" ht="15.75" x14ac:dyDescent="0.25">
      <c r="A7" s="8" t="s">
        <v>4</v>
      </c>
      <c r="B7" s="51">
        <v>0</v>
      </c>
      <c r="C7" s="51">
        <v>0</v>
      </c>
      <c r="D7" s="51">
        <v>0</v>
      </c>
      <c r="E7" s="51">
        <v>0</v>
      </c>
      <c r="F7" s="51">
        <v>0</v>
      </c>
    </row>
    <row r="8" spans="1:8" ht="15.75" x14ac:dyDescent="0.25">
      <c r="A8" s="5" t="s">
        <v>5</v>
      </c>
      <c r="B8" s="51">
        <v>1212568645</v>
      </c>
      <c r="C8" s="51">
        <v>1271203263</v>
      </c>
      <c r="D8" s="51">
        <v>1418662884</v>
      </c>
      <c r="E8" s="51">
        <v>3022528236</v>
      </c>
      <c r="F8" s="51">
        <v>5634400989</v>
      </c>
    </row>
    <row r="9" spans="1:8" x14ac:dyDescent="0.25">
      <c r="A9" s="4" t="s">
        <v>1</v>
      </c>
      <c r="B9" s="51">
        <f>SUM(B2:B8)</f>
        <v>15345250467</v>
      </c>
      <c r="C9" s="51">
        <f>SUM(C2:C8)</f>
        <v>377383064</v>
      </c>
      <c r="D9" s="51">
        <f>SUM(D2:D8)</f>
        <v>332179448</v>
      </c>
      <c r="E9" s="51">
        <f>SUM(E2:E8)</f>
        <v>-411251821</v>
      </c>
      <c r="F9" s="51">
        <f>SUM(F2:F8)</f>
        <v>35274742</v>
      </c>
    </row>
    <row r="10" spans="1:8" ht="47.25" x14ac:dyDescent="0.25">
      <c r="A10" s="6" t="s">
        <v>6</v>
      </c>
      <c r="B10" s="51">
        <v>63079297</v>
      </c>
      <c r="C10" s="51">
        <v>59567264</v>
      </c>
      <c r="D10" s="51">
        <v>74283477</v>
      </c>
      <c r="E10" s="51">
        <v>84156387</v>
      </c>
      <c r="F10" s="51">
        <v>90329754</v>
      </c>
    </row>
    <row r="11" spans="1:8" ht="47.25" x14ac:dyDescent="0.25">
      <c r="A11" s="6" t="s">
        <v>7</v>
      </c>
      <c r="B11" s="51">
        <v>-31872893</v>
      </c>
      <c r="C11" s="51">
        <v>-126713</v>
      </c>
      <c r="D11" s="51"/>
      <c r="E11" s="51"/>
      <c r="F11" s="51">
        <v>16047</v>
      </c>
    </row>
    <row r="12" spans="1:8" ht="47.25" x14ac:dyDescent="0.25">
      <c r="A12" s="6" t="s">
        <v>8</v>
      </c>
      <c r="B12" s="51">
        <v>0</v>
      </c>
      <c r="C12" s="51">
        <v>0</v>
      </c>
      <c r="D12" s="51">
        <v>0</v>
      </c>
      <c r="E12" s="51">
        <v>0</v>
      </c>
      <c r="F12" s="51">
        <v>0</v>
      </c>
    </row>
    <row r="13" spans="1:8" ht="31.5" x14ac:dyDescent="0.25">
      <c r="A13" s="6" t="s">
        <v>11</v>
      </c>
      <c r="B13" s="51">
        <v>0</v>
      </c>
      <c r="C13" s="51">
        <v>0</v>
      </c>
      <c r="D13" s="51">
        <v>0</v>
      </c>
      <c r="E13" s="51">
        <v>0</v>
      </c>
      <c r="F13" s="51">
        <v>0</v>
      </c>
    </row>
    <row r="14" spans="1:8" x14ac:dyDescent="0.25">
      <c r="A14" s="4" t="s">
        <v>74</v>
      </c>
      <c r="B14" s="54">
        <f t="shared" ref="B14:C14" si="0">SUM(B9:B13)</f>
        <v>15376456871</v>
      </c>
      <c r="C14" s="54">
        <f t="shared" si="0"/>
        <v>436823615</v>
      </c>
      <c r="D14" s="54">
        <f>SUM(D9:D13)</f>
        <v>406462925</v>
      </c>
      <c r="E14" s="54">
        <f>SUM(E9:E13)</f>
        <v>-327095434</v>
      </c>
      <c r="F14" s="54">
        <f>SUM(F9:F13)</f>
        <v>125620543</v>
      </c>
    </row>
    <row r="15" spans="1:8" ht="15.75" x14ac:dyDescent="0.25">
      <c r="A15" s="6" t="s">
        <v>2</v>
      </c>
      <c r="B15" s="53">
        <v>0.3</v>
      </c>
      <c r="C15" s="53">
        <v>0.3</v>
      </c>
      <c r="D15" s="53">
        <v>0.3</v>
      </c>
      <c r="E15" s="53">
        <v>0.3</v>
      </c>
      <c r="F15" s="53">
        <v>0.3</v>
      </c>
    </row>
    <row r="16" spans="1:8" x14ac:dyDescent="0.25">
      <c r="A16" s="4" t="s">
        <v>75</v>
      </c>
      <c r="B16" s="52">
        <f t="shared" ref="B16:C16" si="1">IF(B14*B15&lt;0,0,B14*B15)</f>
        <v>4612937061.3000002</v>
      </c>
      <c r="C16" s="52">
        <f t="shared" si="1"/>
        <v>131047084.5</v>
      </c>
      <c r="D16" s="52">
        <f>IF(D14*D15&lt;0,0,D14*D15)</f>
        <v>121938877.5</v>
      </c>
      <c r="E16" s="52">
        <f t="shared" ref="E16:F16" si="2">IF(E14*E15&lt;0,0,E14*E15)</f>
        <v>0</v>
      </c>
      <c r="F16" s="52">
        <f t="shared" si="2"/>
        <v>37686162.899999999</v>
      </c>
    </row>
    <row r="17" spans="1:11" x14ac:dyDescent="0.25">
      <c r="A17" s="43" t="s">
        <v>76</v>
      </c>
      <c r="B17" s="51">
        <f>IF(B6+B8+B3+B5+B19&lt;0,0,B6+B8+B3+B5+B19)</f>
        <v>460663974</v>
      </c>
      <c r="C17" s="51">
        <f t="shared" ref="C17:F17" si="3">IF(C6+C8+C3+C5+C19&lt;0,0,C6+C8+C3+C5+C19)</f>
        <v>193416350</v>
      </c>
      <c r="D17" s="51">
        <f t="shared" si="3"/>
        <v>537490838</v>
      </c>
      <c r="E17" s="51">
        <f t="shared" si="3"/>
        <v>1264031923</v>
      </c>
      <c r="F17" s="51">
        <f t="shared" si="3"/>
        <v>1207748669</v>
      </c>
      <c r="G17" s="42">
        <f>B6+B8+B3+B5+B19</f>
        <v>460663974</v>
      </c>
      <c r="H17" s="42">
        <f t="shared" ref="H17:K17" si="4">C6+C8+C3+C5+C19</f>
        <v>193416350</v>
      </c>
      <c r="I17" s="42">
        <f t="shared" si="4"/>
        <v>537490838</v>
      </c>
      <c r="J17" s="42">
        <f t="shared" si="4"/>
        <v>1264031923</v>
      </c>
      <c r="K17" s="42">
        <f t="shared" si="4"/>
        <v>1207748669</v>
      </c>
    </row>
    <row r="18" spans="1:11" ht="15.75" x14ac:dyDescent="0.25">
      <c r="A18" s="7" t="s">
        <v>13</v>
      </c>
      <c r="B18" s="55">
        <f t="shared" ref="B18:C18" si="5">IF(B16-B17&gt;0,0,-(B16-B17))</f>
        <v>0</v>
      </c>
      <c r="C18" s="55">
        <f t="shared" si="5"/>
        <v>62369265.5</v>
      </c>
      <c r="D18" s="55">
        <f>IF(D16-D17&gt;0,0,-(D16-D17))</f>
        <v>415551960.5</v>
      </c>
      <c r="E18" s="55">
        <f t="shared" ref="E18:F18" si="6">IF(E16-E17&gt;0,0,-(E16-E17))</f>
        <v>1264031923</v>
      </c>
      <c r="F18" s="55">
        <f t="shared" si="6"/>
        <v>1170062506.0999999</v>
      </c>
    </row>
    <row r="19" spans="1:11" ht="15.75" x14ac:dyDescent="0.25">
      <c r="A19" s="44" t="s">
        <v>73</v>
      </c>
      <c r="B19" s="51">
        <v>3388967936</v>
      </c>
      <c r="C19" s="51">
        <v>5650415799</v>
      </c>
      <c r="D19" s="51">
        <v>1749021539</v>
      </c>
      <c r="E19" s="51">
        <v>3027520597</v>
      </c>
      <c r="F19" s="51">
        <v>1704609215</v>
      </c>
    </row>
    <row r="20" spans="1:11" ht="18.75" x14ac:dyDescent="0.25">
      <c r="A20" s="71" t="s">
        <v>77</v>
      </c>
      <c r="B20" s="71"/>
      <c r="C20" s="71"/>
      <c r="D20" s="71"/>
      <c r="E20" s="71"/>
      <c r="F20" s="71"/>
    </row>
    <row r="21" spans="1:11" hidden="1" x14ac:dyDescent="0.25">
      <c r="A21" t="s">
        <v>70</v>
      </c>
      <c r="D21" s="42">
        <f>D3+1749021539</f>
        <v>-92053765</v>
      </c>
      <c r="E21" s="42">
        <f>E3+3027520597</f>
        <v>-159343190</v>
      </c>
      <c r="F21" s="42">
        <f>F3+1704609215</f>
        <v>-529447386</v>
      </c>
    </row>
    <row r="22" spans="1:11" hidden="1" x14ac:dyDescent="0.25">
      <c r="A22" t="s">
        <v>71</v>
      </c>
      <c r="D22" s="42">
        <f>D6+D21</f>
        <v>455841654</v>
      </c>
      <c r="E22" s="42">
        <f>E6+E21</f>
        <v>568355825</v>
      </c>
      <c r="F22" s="42">
        <f>F6+F21</f>
        <v>279133050</v>
      </c>
    </row>
    <row r="23" spans="1:11" x14ac:dyDescent="0.25">
      <c r="A23" s="4" t="s">
        <v>78</v>
      </c>
      <c r="B23" s="54">
        <f>B2+B25+SUM(B10:B13)-B19</f>
        <v>15132784761</v>
      </c>
      <c r="C23" s="54">
        <f t="shared" ref="C23:F23" si="7">C2+C25+SUM(C10:C13)-C19</f>
        <v>387787467</v>
      </c>
      <c r="D23" s="54">
        <f t="shared" si="7"/>
        <v>74219374</v>
      </c>
      <c r="E23" s="54">
        <f t="shared" si="7"/>
        <v>-1268708268</v>
      </c>
      <c r="F23" s="54">
        <f t="shared" si="7"/>
        <v>-689626588</v>
      </c>
    </row>
    <row r="24" spans="1:11" x14ac:dyDescent="0.25">
      <c r="A24" s="4" t="s">
        <v>12</v>
      </c>
      <c r="B24" s="52">
        <f t="shared" ref="B24:D24" si="8">IF(B23*B15&lt;0,0,B23*B15)</f>
        <v>4539835428.3000002</v>
      </c>
      <c r="C24" s="52">
        <f t="shared" si="8"/>
        <v>116336240.09999999</v>
      </c>
      <c r="D24" s="52">
        <f t="shared" si="8"/>
        <v>22265812.199999999</v>
      </c>
      <c r="E24" s="52">
        <f>IF(E23*E15&lt;0,0,E23*E15)</f>
        <v>0</v>
      </c>
      <c r="F24" s="52">
        <f>IF(F23*F15&lt;0,0,F23*F15)</f>
        <v>0</v>
      </c>
    </row>
    <row r="25" spans="1:11" x14ac:dyDescent="0.25">
      <c r="A25" s="43" t="s">
        <v>76</v>
      </c>
      <c r="B25" s="51">
        <f>IF(B6+B8+B3+B5&lt;0,0,B6+B8+B3+B5)</f>
        <v>0</v>
      </c>
      <c r="C25" s="51">
        <f t="shared" ref="C25:F25" si="9">IF(C6+C8+C3+C5&lt;0,0,C6+C8+C3+C5)</f>
        <v>0</v>
      </c>
      <c r="D25" s="51">
        <f t="shared" si="9"/>
        <v>0</v>
      </c>
      <c r="E25" s="51">
        <f t="shared" si="9"/>
        <v>0</v>
      </c>
      <c r="F25" s="51">
        <f t="shared" si="9"/>
        <v>0</v>
      </c>
    </row>
    <row r="26" spans="1:11" ht="15.75" x14ac:dyDescent="0.25">
      <c r="A26" s="7" t="s">
        <v>79</v>
      </c>
      <c r="B26" s="55">
        <f t="shared" ref="B26:E26" si="10">IF(B24-B25&gt;0,0,-(B24-B25))</f>
        <v>0</v>
      </c>
      <c r="C26" s="55">
        <f t="shared" si="10"/>
        <v>0</v>
      </c>
      <c r="D26" s="55">
        <f t="shared" si="10"/>
        <v>0</v>
      </c>
      <c r="E26" s="55">
        <f t="shared" si="10"/>
        <v>0</v>
      </c>
      <c r="F26" s="55">
        <f>IF(F24-F25&gt;0,0,-(F24-F25))</f>
        <v>0</v>
      </c>
    </row>
  </sheetData>
  <mergeCells count="1">
    <mergeCell ref="A20:F20"/>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zoomScale="69" zoomScaleNormal="69" workbookViewId="0">
      <selection activeCell="F18" sqref="F18:H18"/>
    </sheetView>
  </sheetViews>
  <sheetFormatPr baseColWidth="10" defaultRowHeight="15" x14ac:dyDescent="0.25"/>
  <cols>
    <col min="1" max="1" width="49.85546875" customWidth="1"/>
    <col min="2" max="4" width="20.28515625" bestFit="1" customWidth="1"/>
    <col min="5" max="5" width="37.85546875" customWidth="1"/>
    <col min="6" max="8" width="20.28515625" bestFit="1" customWidth="1"/>
    <col min="10" max="10" width="70.140625" bestFit="1" customWidth="1"/>
  </cols>
  <sheetData>
    <row r="1" spans="1:10" ht="18.75" x14ac:dyDescent="0.25">
      <c r="A1" s="1" t="s">
        <v>0</v>
      </c>
      <c r="B1" s="2">
        <v>2013</v>
      </c>
      <c r="C1" s="2">
        <v>2014</v>
      </c>
      <c r="D1" s="107">
        <v>2015</v>
      </c>
      <c r="E1" s="47" t="s">
        <v>26</v>
      </c>
      <c r="F1" s="48">
        <v>2013</v>
      </c>
      <c r="G1" s="48">
        <v>2014</v>
      </c>
      <c r="H1" s="48">
        <v>2015</v>
      </c>
      <c r="I1" s="18"/>
      <c r="J1" s="13" t="s">
        <v>16</v>
      </c>
    </row>
    <row r="2" spans="1:10" x14ac:dyDescent="0.25">
      <c r="A2" s="4" t="s">
        <v>9</v>
      </c>
      <c r="B2" s="51" t="s">
        <v>87</v>
      </c>
      <c r="C2" s="51">
        <v>1674655942</v>
      </c>
      <c r="D2" s="75">
        <v>924636826</v>
      </c>
      <c r="E2" s="31" t="s">
        <v>89</v>
      </c>
      <c r="F2" s="85">
        <v>18534000000</v>
      </c>
      <c r="G2" s="85">
        <v>11302000000</v>
      </c>
      <c r="H2" s="85">
        <v>9867000000</v>
      </c>
      <c r="J2" s="19" t="s">
        <v>53</v>
      </c>
    </row>
    <row r="3" spans="1:10" ht="15.75" hidden="1" customHeight="1" x14ac:dyDescent="0.25">
      <c r="A3" s="5" t="s">
        <v>15</v>
      </c>
      <c r="B3" s="51">
        <v>-1841075304</v>
      </c>
      <c r="C3" s="51">
        <v>-3186863787</v>
      </c>
      <c r="D3" s="75">
        <v>-2234056601</v>
      </c>
      <c r="E3" s="108" t="s">
        <v>88</v>
      </c>
      <c r="F3" s="85">
        <v>-286000000</v>
      </c>
      <c r="G3" s="85">
        <v>-335000000</v>
      </c>
      <c r="H3" s="85">
        <v>-339000000</v>
      </c>
      <c r="J3" s="19" t="s">
        <v>55</v>
      </c>
    </row>
    <row r="4" spans="1:10" ht="30" hidden="1" customHeight="1" x14ac:dyDescent="0.25">
      <c r="A4" s="5" t="s">
        <v>65</v>
      </c>
      <c r="B4" s="51">
        <v>-205247287</v>
      </c>
      <c r="C4" s="51">
        <v>-322419089</v>
      </c>
      <c r="D4" s="75">
        <v>-392501538</v>
      </c>
      <c r="E4" s="108" t="s">
        <v>90</v>
      </c>
      <c r="F4" s="85"/>
      <c r="G4" s="85"/>
      <c r="H4" s="85"/>
      <c r="J4" s="20" t="s">
        <v>54</v>
      </c>
    </row>
    <row r="5" spans="1:10" ht="15.75" hidden="1" customHeight="1" x14ac:dyDescent="0.25">
      <c r="A5" s="5" t="s">
        <v>10</v>
      </c>
      <c r="B5" s="51">
        <v>-1337013700</v>
      </c>
      <c r="C5" s="51">
        <v>-2326852138</v>
      </c>
      <c r="D5" s="75">
        <v>-4705785370</v>
      </c>
      <c r="E5" s="108" t="s">
        <v>91</v>
      </c>
      <c r="F5" s="85">
        <f>945000000-F3</f>
        <v>1231000000</v>
      </c>
      <c r="G5" s="85">
        <f>-1478000000-G3</f>
        <v>-1143000000</v>
      </c>
      <c r="H5" s="85">
        <f>-1689000000-H3</f>
        <v>-1350000000</v>
      </c>
      <c r="J5" s="35"/>
    </row>
    <row r="6" spans="1:10" ht="15.75" hidden="1" customHeight="1" x14ac:dyDescent="0.25">
      <c r="A6" s="5" t="s">
        <v>3</v>
      </c>
      <c r="B6" s="51">
        <v>547895419</v>
      </c>
      <c r="C6" s="51">
        <v>727699015</v>
      </c>
      <c r="D6" s="75">
        <v>808580436</v>
      </c>
      <c r="E6" s="108" t="s">
        <v>92</v>
      </c>
      <c r="F6" s="85">
        <v>2043000000</v>
      </c>
      <c r="G6" s="85">
        <v>2008000000</v>
      </c>
      <c r="H6" s="85">
        <v>1833000000</v>
      </c>
    </row>
    <row r="7" spans="1:10" ht="15.75" hidden="1" customHeight="1" x14ac:dyDescent="0.25">
      <c r="A7" s="8" t="s">
        <v>4</v>
      </c>
      <c r="B7" s="51">
        <v>0</v>
      </c>
      <c r="C7" s="51">
        <v>0</v>
      </c>
      <c r="D7" s="75">
        <v>0</v>
      </c>
      <c r="E7" s="109" t="s">
        <v>93</v>
      </c>
      <c r="F7" s="85"/>
      <c r="G7" s="85"/>
      <c r="H7" s="85"/>
    </row>
    <row r="8" spans="1:10" ht="15.75" hidden="1" customHeight="1" x14ac:dyDescent="0.25">
      <c r="A8" s="5" t="s">
        <v>5</v>
      </c>
      <c r="B8" s="51">
        <v>1418662884</v>
      </c>
      <c r="C8" s="51">
        <v>3022528236</v>
      </c>
      <c r="D8" s="75">
        <v>5634400989</v>
      </c>
      <c r="E8" s="108" t="s">
        <v>94</v>
      </c>
      <c r="F8" s="85">
        <f>3148000000-F6</f>
        <v>1105000000</v>
      </c>
      <c r="G8" s="85">
        <f>2791000000-G6</f>
        <v>783000000</v>
      </c>
      <c r="H8" s="85">
        <f>3142000000-H6</f>
        <v>1309000000</v>
      </c>
    </row>
    <row r="9" spans="1:10" x14ac:dyDescent="0.25">
      <c r="A9" s="4" t="s">
        <v>1</v>
      </c>
      <c r="B9" s="51">
        <f>SUM(B2:B8)</f>
        <v>-1416777988</v>
      </c>
      <c r="C9" s="51">
        <f>SUM(C2:C8)</f>
        <v>-411251821</v>
      </c>
      <c r="D9" s="75">
        <f>SUM(D2:D8)</f>
        <v>35274742</v>
      </c>
      <c r="E9" s="31" t="s">
        <v>1</v>
      </c>
      <c r="F9" s="85">
        <v>20443000000</v>
      </c>
      <c r="G9" s="85">
        <v>15111000000</v>
      </c>
      <c r="H9" s="85">
        <v>13904000000</v>
      </c>
    </row>
    <row r="10" spans="1:10" ht="47.25" hidden="1" customHeight="1" x14ac:dyDescent="0.25">
      <c r="A10" s="6" t="s">
        <v>6</v>
      </c>
      <c r="B10" s="51">
        <v>74283477</v>
      </c>
      <c r="C10" s="51">
        <v>84156387</v>
      </c>
      <c r="D10" s="75">
        <v>90329754</v>
      </c>
      <c r="E10" s="110" t="s">
        <v>95</v>
      </c>
      <c r="F10" s="85"/>
      <c r="G10" s="85"/>
      <c r="H10" s="85"/>
    </row>
    <row r="11" spans="1:10" ht="47.25" hidden="1" customHeight="1" x14ac:dyDescent="0.25">
      <c r="A11" s="6" t="s">
        <v>7</v>
      </c>
      <c r="B11" s="51"/>
      <c r="C11" s="51"/>
      <c r="D11" s="75">
        <v>16047</v>
      </c>
      <c r="E11" s="110" t="s">
        <v>96</v>
      </c>
      <c r="F11" s="85"/>
      <c r="G11" s="85"/>
      <c r="H11" s="85"/>
      <c r="J11" s="24" t="s">
        <v>35</v>
      </c>
    </row>
    <row r="12" spans="1:10" ht="47.25" hidden="1" customHeight="1" x14ac:dyDescent="0.25">
      <c r="A12" s="6" t="s">
        <v>8</v>
      </c>
      <c r="B12" s="51">
        <v>0</v>
      </c>
      <c r="C12" s="51">
        <v>0</v>
      </c>
      <c r="D12" s="75">
        <v>0</v>
      </c>
      <c r="E12" s="110" t="s">
        <v>97</v>
      </c>
      <c r="F12" s="85"/>
      <c r="G12" s="85"/>
      <c r="H12" s="85"/>
      <c r="J12" s="14" t="s">
        <v>52</v>
      </c>
    </row>
    <row r="13" spans="1:10" ht="31.5" hidden="1" customHeight="1" x14ac:dyDescent="0.25">
      <c r="A13" s="6" t="s">
        <v>11</v>
      </c>
      <c r="B13" s="51">
        <v>0</v>
      </c>
      <c r="C13" s="51">
        <v>0</v>
      </c>
      <c r="D13" s="75">
        <v>0</v>
      </c>
      <c r="E13" s="110" t="s">
        <v>98</v>
      </c>
      <c r="F13" s="85"/>
      <c r="G13" s="85"/>
      <c r="H13" s="85"/>
    </row>
    <row r="14" spans="1:10" x14ac:dyDescent="0.25">
      <c r="A14" s="4" t="s">
        <v>74</v>
      </c>
      <c r="B14" s="51">
        <f>SUM(B9:B13)</f>
        <v>-1342494511</v>
      </c>
      <c r="C14" s="51">
        <f>SUM(C9:C13)</f>
        <v>-327095434</v>
      </c>
      <c r="D14" s="75">
        <f>SUM(D9:D13)</f>
        <v>125620543</v>
      </c>
      <c r="E14" s="31" t="s">
        <v>100</v>
      </c>
      <c r="F14" s="85">
        <v>23428000000</v>
      </c>
      <c r="G14" s="85">
        <v>18465000000</v>
      </c>
      <c r="H14" s="85">
        <v>17057000000</v>
      </c>
    </row>
    <row r="15" spans="1:10" ht="15.75" x14ac:dyDescent="0.25">
      <c r="A15" s="6" t="s">
        <v>2</v>
      </c>
      <c r="B15" s="53">
        <v>0.3</v>
      </c>
      <c r="C15" s="53">
        <v>0.3</v>
      </c>
      <c r="D15" s="94">
        <v>0.3</v>
      </c>
      <c r="E15" s="110" t="s">
        <v>2</v>
      </c>
      <c r="F15" s="98">
        <v>0.3</v>
      </c>
      <c r="G15" s="98">
        <v>0.3</v>
      </c>
      <c r="H15" s="98">
        <v>0.3</v>
      </c>
    </row>
    <row r="16" spans="1:10" x14ac:dyDescent="0.25">
      <c r="A16" s="4" t="s">
        <v>75</v>
      </c>
      <c r="B16" s="52">
        <f>IF(B14*B15&lt;0,0,B14*B15)</f>
        <v>0</v>
      </c>
      <c r="C16" s="52">
        <f t="shared" ref="C16:D16" si="0">IF(C14*C15&lt;0,0,C14*C15)</f>
        <v>0</v>
      </c>
      <c r="D16" s="62">
        <f t="shared" si="0"/>
        <v>37686162.899999999</v>
      </c>
      <c r="E16" s="31" t="s">
        <v>75</v>
      </c>
      <c r="F16" s="99">
        <f t="shared" ref="F16:G16" si="1">IF(F14*F15&lt;0,-(F14*F15),F14*F15)</f>
        <v>7028400000</v>
      </c>
      <c r="G16" s="99">
        <f t="shared" si="1"/>
        <v>5539500000</v>
      </c>
      <c r="H16" s="99">
        <f>IF(H14*H15&lt;0,-(H14*H15),H14*H15)</f>
        <v>5117100000</v>
      </c>
    </row>
    <row r="17" spans="1:8" x14ac:dyDescent="0.25">
      <c r="A17" s="43" t="s">
        <v>76</v>
      </c>
      <c r="B17" s="51">
        <f t="shared" ref="B17:D17" si="2">IF(B6+B8+B3+B5+B19&lt;0,0,B6+B8+B3+B5+B19)</f>
        <v>537490838</v>
      </c>
      <c r="C17" s="51">
        <f t="shared" si="2"/>
        <v>1264031923</v>
      </c>
      <c r="D17" s="75">
        <f t="shared" si="2"/>
        <v>1207748669</v>
      </c>
      <c r="E17" s="111" t="s">
        <v>76</v>
      </c>
      <c r="F17" s="85">
        <f>IF(SUM(F6+F3)&lt;0,0,SUM(F6+F3))</f>
        <v>1757000000</v>
      </c>
      <c r="G17" s="85">
        <f t="shared" ref="G17:H17" si="3">IF(SUM(G6+G3)&lt;0,0,SUM(G6+G3))</f>
        <v>1673000000</v>
      </c>
      <c r="H17" s="85">
        <f t="shared" si="3"/>
        <v>1494000000</v>
      </c>
    </row>
    <row r="18" spans="1:8" ht="15.75" x14ac:dyDescent="0.25">
      <c r="A18" s="7" t="s">
        <v>13</v>
      </c>
      <c r="B18" s="55">
        <f>IF(B16-B17&gt;0,0,-(B16-B17))</f>
        <v>537490838</v>
      </c>
      <c r="C18" s="55">
        <f t="shared" ref="C18:D18" si="4">IF(C16-C17&gt;0,0,-(C16-C17))</f>
        <v>1264031923</v>
      </c>
      <c r="D18" s="63">
        <f t="shared" si="4"/>
        <v>1170062506.0999999</v>
      </c>
      <c r="E18" s="101" t="s">
        <v>13</v>
      </c>
      <c r="F18" s="102">
        <f t="shared" ref="F18:G18" si="5">IF(F16-F17&gt;0,0,-(F16-F17))</f>
        <v>0</v>
      </c>
      <c r="G18" s="102">
        <f t="shared" si="5"/>
        <v>0</v>
      </c>
      <c r="H18" s="102">
        <f>IF(H16-H17&gt;0,0,-(H16-H17))</f>
        <v>0</v>
      </c>
    </row>
    <row r="19" spans="1:8" ht="15.75" x14ac:dyDescent="0.25">
      <c r="A19" s="67" t="s">
        <v>73</v>
      </c>
      <c r="B19" s="69">
        <v>1749021539</v>
      </c>
      <c r="C19" s="69">
        <v>3027520597</v>
      </c>
      <c r="D19" s="76">
        <v>1704609215</v>
      </c>
      <c r="E19" s="112" t="s">
        <v>99</v>
      </c>
      <c r="F19" s="85">
        <f>606000000</f>
        <v>606000000</v>
      </c>
      <c r="G19" s="85">
        <f>22000000</f>
        <v>22000000</v>
      </c>
      <c r="H19" s="85">
        <f>30000000</f>
        <v>30000000</v>
      </c>
    </row>
    <row r="20" spans="1:8" ht="15.75" customHeight="1" x14ac:dyDescent="0.25">
      <c r="A20" s="71" t="s">
        <v>59</v>
      </c>
      <c r="B20" s="71"/>
      <c r="C20" s="71"/>
      <c r="D20" s="77"/>
      <c r="E20" s="78"/>
      <c r="F20" s="80"/>
      <c r="G20" s="80"/>
      <c r="H20" s="81"/>
    </row>
    <row r="21" spans="1:8" ht="30" customHeight="1" x14ac:dyDescent="0.25">
      <c r="A21" s="38" t="s">
        <v>56</v>
      </c>
      <c r="B21" s="65">
        <f>IF(F16-B15&lt;0,0,(F16-B15))</f>
        <v>7028399999.6999998</v>
      </c>
      <c r="C21" s="65">
        <f t="shared" ref="C21:D21" si="6">IF(G16-C15&lt;0,0,(G16-C15))</f>
        <v>5539499999.6999998</v>
      </c>
      <c r="D21" s="66">
        <f t="shared" si="6"/>
        <v>5117099999.6999998</v>
      </c>
      <c r="E21" s="78"/>
      <c r="F21" s="80"/>
      <c r="G21" s="80"/>
      <c r="H21" s="81"/>
    </row>
    <row r="22" spans="1:8" ht="31.5" x14ac:dyDescent="0.25">
      <c r="A22" s="56" t="s">
        <v>57</v>
      </c>
      <c r="B22" s="55">
        <f>IF(F20-B19&lt;0,0,(F20-B19))</f>
        <v>0</v>
      </c>
      <c r="C22" s="55">
        <f t="shared" ref="C22:D22" si="7">IF(G20-C19&lt;0,0,(G20-C19))</f>
        <v>0</v>
      </c>
      <c r="D22" s="63">
        <f t="shared" si="7"/>
        <v>0</v>
      </c>
      <c r="E22" s="84"/>
      <c r="F22" s="82"/>
      <c r="G22" s="82"/>
      <c r="H22" s="83"/>
    </row>
  </sheetData>
  <mergeCells count="2">
    <mergeCell ref="A20:D20"/>
    <mergeCell ref="E20:H2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73" zoomScaleNormal="73" workbookViewId="0">
      <selection activeCell="H22" sqref="H22"/>
    </sheetView>
  </sheetViews>
  <sheetFormatPr baseColWidth="10" defaultRowHeight="15" x14ac:dyDescent="0.25"/>
  <cols>
    <col min="1" max="1" width="47.140625" customWidth="1"/>
    <col min="2" max="2" width="20.7109375" bestFit="1" customWidth="1"/>
    <col min="3" max="3" width="19" bestFit="1" customWidth="1"/>
    <col min="4" max="4" width="19.5703125" bestFit="1" customWidth="1"/>
    <col min="5" max="6" width="20.28515625" bestFit="1" customWidth="1"/>
    <col min="8" max="8" width="70.140625" bestFit="1" customWidth="1"/>
  </cols>
  <sheetData>
    <row r="1" spans="1:8" ht="18.75" x14ac:dyDescent="0.25">
      <c r="A1" s="1" t="s">
        <v>0</v>
      </c>
      <c r="B1" s="2">
        <v>2011</v>
      </c>
      <c r="C1" s="2">
        <v>2012</v>
      </c>
      <c r="D1" s="2">
        <v>2013</v>
      </c>
      <c r="E1" s="2">
        <v>2014</v>
      </c>
      <c r="F1" s="2">
        <v>2015</v>
      </c>
      <c r="H1" s="13" t="s">
        <v>16</v>
      </c>
    </row>
    <row r="2" spans="1:8" ht="30" x14ac:dyDescent="0.25">
      <c r="A2" s="4" t="s">
        <v>9</v>
      </c>
      <c r="B2" s="51">
        <v>18490546293</v>
      </c>
      <c r="C2" s="51">
        <v>5978762715</v>
      </c>
      <c r="D2" s="51">
        <v>1748957436</v>
      </c>
      <c r="E2" s="51">
        <v>1674655942</v>
      </c>
      <c r="F2" s="51">
        <v>924636826</v>
      </c>
      <c r="H2" s="15" t="s">
        <v>67</v>
      </c>
    </row>
    <row r="3" spans="1:8" ht="30" hidden="1" x14ac:dyDescent="0.25">
      <c r="A3" s="5" t="s">
        <v>15</v>
      </c>
      <c r="B3" s="51">
        <f>-3567334670</f>
        <v>-3567334670</v>
      </c>
      <c r="C3" s="51">
        <v>-5947806104</v>
      </c>
      <c r="D3" s="51">
        <v>-1841075304</v>
      </c>
      <c r="E3" s="51">
        <v>-3186863787</v>
      </c>
      <c r="F3" s="51">
        <v>-2234056601</v>
      </c>
      <c r="H3" s="15" t="s">
        <v>58</v>
      </c>
    </row>
    <row r="4" spans="1:8" ht="15.75" hidden="1" x14ac:dyDescent="0.25">
      <c r="A4" s="5" t="s">
        <v>65</v>
      </c>
      <c r="B4" s="51">
        <v>-216991864</v>
      </c>
      <c r="C4" s="51">
        <v>-144380202</v>
      </c>
      <c r="D4" s="51">
        <v>-205247287</v>
      </c>
      <c r="E4" s="51">
        <v>-322419089</v>
      </c>
      <c r="F4" s="51">
        <v>-392501538</v>
      </c>
      <c r="H4" s="14" t="s">
        <v>17</v>
      </c>
    </row>
    <row r="5" spans="1:8" ht="15.75" hidden="1" x14ac:dyDescent="0.25">
      <c r="A5" s="5" t="s">
        <v>10</v>
      </c>
      <c r="B5" s="51">
        <v>-1077115031</v>
      </c>
      <c r="C5" s="51">
        <v>-1302990692</v>
      </c>
      <c r="D5" s="51">
        <v>-1337013700</v>
      </c>
      <c r="E5" s="51">
        <v>-2326852138</v>
      </c>
      <c r="F5" s="51">
        <v>-4705785370</v>
      </c>
      <c r="H5" s="11"/>
    </row>
    <row r="6" spans="1:8" ht="15.75" hidden="1" x14ac:dyDescent="0.25">
      <c r="A6" s="5" t="s">
        <v>3</v>
      </c>
      <c r="B6" s="51">
        <v>503577094</v>
      </c>
      <c r="C6" s="51">
        <v>522594084</v>
      </c>
      <c r="D6" s="51">
        <v>547895419</v>
      </c>
      <c r="E6" s="51">
        <v>727699015</v>
      </c>
      <c r="F6" s="51">
        <v>808580436</v>
      </c>
    </row>
    <row r="7" spans="1:8" ht="18.75" hidden="1" x14ac:dyDescent="0.25">
      <c r="A7" s="8" t="s">
        <v>4</v>
      </c>
      <c r="B7" s="51">
        <v>0</v>
      </c>
      <c r="C7" s="51">
        <v>0</v>
      </c>
      <c r="D7" s="51">
        <v>0</v>
      </c>
      <c r="E7" s="51">
        <v>0</v>
      </c>
      <c r="F7" s="51">
        <v>0</v>
      </c>
      <c r="H7" s="24" t="s">
        <v>35</v>
      </c>
    </row>
    <row r="8" spans="1:8" ht="15.75" hidden="1" x14ac:dyDescent="0.25">
      <c r="A8" s="5" t="s">
        <v>5</v>
      </c>
      <c r="B8" s="51">
        <v>1212568645</v>
      </c>
      <c r="C8" s="51">
        <v>1271203263</v>
      </c>
      <c r="D8" s="51">
        <v>1418662884</v>
      </c>
      <c r="E8" s="51">
        <v>3022528236</v>
      </c>
      <c r="F8" s="51">
        <v>5634400989</v>
      </c>
      <c r="H8" s="14" t="s">
        <v>38</v>
      </c>
    </row>
    <row r="9" spans="1:8" x14ac:dyDescent="0.25">
      <c r="A9" s="4" t="s">
        <v>1</v>
      </c>
      <c r="B9" s="51">
        <f>SUM(B2:B8)</f>
        <v>15345250467</v>
      </c>
      <c r="C9" s="51">
        <f>SUM(C2:C8)</f>
        <v>377383064</v>
      </c>
      <c r="D9" s="51">
        <f>SUM(D2:D8)</f>
        <v>332179448</v>
      </c>
      <c r="E9" s="51">
        <f>SUM(E2:E8)</f>
        <v>-411251821</v>
      </c>
      <c r="F9" s="51">
        <f>SUM(F2:F8)</f>
        <v>35274742</v>
      </c>
    </row>
    <row r="10" spans="1:8" ht="47.25" hidden="1" x14ac:dyDescent="0.25">
      <c r="A10" s="6" t="s">
        <v>6</v>
      </c>
      <c r="B10" s="51">
        <v>63079297</v>
      </c>
      <c r="C10" s="51">
        <v>59567264</v>
      </c>
      <c r="D10" s="51">
        <v>74283477</v>
      </c>
      <c r="E10" s="51">
        <v>84156387</v>
      </c>
      <c r="F10" s="51">
        <v>90329754</v>
      </c>
    </row>
    <row r="11" spans="1:8" ht="47.25" hidden="1" x14ac:dyDescent="0.25">
      <c r="A11" s="6" t="s">
        <v>7</v>
      </c>
      <c r="B11" s="51">
        <v>-31872893</v>
      </c>
      <c r="C11" s="51">
        <v>-126713</v>
      </c>
      <c r="D11" s="51"/>
      <c r="E11" s="51"/>
      <c r="F11" s="51">
        <v>16047</v>
      </c>
    </row>
    <row r="12" spans="1:8" ht="47.25" hidden="1" x14ac:dyDescent="0.25">
      <c r="A12" s="6" t="s">
        <v>8</v>
      </c>
      <c r="B12" s="51">
        <v>0</v>
      </c>
      <c r="C12" s="51">
        <v>0</v>
      </c>
      <c r="D12" s="51">
        <v>0</v>
      </c>
      <c r="E12" s="51">
        <v>0</v>
      </c>
      <c r="F12" s="51">
        <v>0</v>
      </c>
    </row>
    <row r="13" spans="1:8" ht="31.5" hidden="1" x14ac:dyDescent="0.25">
      <c r="A13" s="6" t="s">
        <v>11</v>
      </c>
      <c r="B13" s="51">
        <v>0</v>
      </c>
      <c r="C13" s="51">
        <v>0</v>
      </c>
      <c r="D13" s="51">
        <v>0</v>
      </c>
      <c r="E13" s="51">
        <v>0</v>
      </c>
      <c r="F13" s="51">
        <v>0</v>
      </c>
    </row>
    <row r="14" spans="1:8" x14ac:dyDescent="0.25">
      <c r="A14" s="4" t="s">
        <v>74</v>
      </c>
      <c r="B14" s="51">
        <f t="shared" ref="B14:C14" si="0">SUM(B9:B13)</f>
        <v>15376456871</v>
      </c>
      <c r="C14" s="51">
        <f t="shared" si="0"/>
        <v>436823615</v>
      </c>
      <c r="D14" s="51">
        <f>SUM(D9:D13)</f>
        <v>406462925</v>
      </c>
      <c r="E14" s="51">
        <f>SUM(E9:E13)</f>
        <v>-327095434</v>
      </c>
      <c r="F14" s="51">
        <f>SUM(F9:F13)</f>
        <v>125620543</v>
      </c>
    </row>
    <row r="15" spans="1:8" ht="15.75" x14ac:dyDescent="0.25">
      <c r="A15" s="6" t="s">
        <v>2</v>
      </c>
      <c r="B15" s="53">
        <v>0.3</v>
      </c>
      <c r="C15" s="53">
        <v>0.3</v>
      </c>
      <c r="D15" s="53">
        <v>0.3</v>
      </c>
      <c r="E15" s="53">
        <v>0.3</v>
      </c>
      <c r="F15" s="53">
        <v>0.3</v>
      </c>
    </row>
    <row r="16" spans="1:8" x14ac:dyDescent="0.25">
      <c r="A16" s="4" t="s">
        <v>75</v>
      </c>
      <c r="B16" s="51">
        <f t="shared" ref="B16:C16" si="1">IF(B14*B15&lt;0,0,B14*B15)</f>
        <v>4612937061.3000002</v>
      </c>
      <c r="C16" s="52">
        <f t="shared" si="1"/>
        <v>131047084.5</v>
      </c>
      <c r="D16" s="52">
        <f>IF(D14*D15&lt;0,0,D14*D15)</f>
        <v>121938877.5</v>
      </c>
      <c r="E16" s="52">
        <f t="shared" ref="E16:F16" si="2">IF(E14*E15&lt;0,0,E14*E15)</f>
        <v>0</v>
      </c>
      <c r="F16" s="52">
        <f t="shared" si="2"/>
        <v>37686162.899999999</v>
      </c>
    </row>
    <row r="17" spans="1:8" x14ac:dyDescent="0.25">
      <c r="A17" s="43" t="s">
        <v>76</v>
      </c>
      <c r="B17" s="51">
        <f>IF(B6+B8+B3+B5+B19&lt;0,0,B6+B8+B3+B5+B19)</f>
        <v>460663974</v>
      </c>
      <c r="C17" s="51">
        <f t="shared" ref="C17:F17" si="3">IF(C6+C8+C3+C5+C19&lt;0,0,C6+C8+C3+C5+C19)</f>
        <v>193416350</v>
      </c>
      <c r="D17" s="51">
        <f t="shared" si="3"/>
        <v>537490838</v>
      </c>
      <c r="E17" s="51">
        <f t="shared" si="3"/>
        <v>1264031923</v>
      </c>
      <c r="F17" s="51">
        <f t="shared" si="3"/>
        <v>1207748669</v>
      </c>
      <c r="H17" s="42">
        <f>SUM(B6:B8)+SUM(B3:B5)</f>
        <v>-3145295826</v>
      </c>
    </row>
    <row r="18" spans="1:8" ht="15.75" x14ac:dyDescent="0.25">
      <c r="A18" s="7" t="s">
        <v>13</v>
      </c>
      <c r="B18" s="51">
        <f t="shared" ref="B18:C18" si="4">IF(B16-B17&gt;0,0,-(B16-B17))</f>
        <v>0</v>
      </c>
      <c r="C18" s="51">
        <f t="shared" si="4"/>
        <v>62369265.5</v>
      </c>
      <c r="D18" s="55">
        <f>IF(D16-D17&gt;0,0,-(D16-D17))</f>
        <v>415551960.5</v>
      </c>
      <c r="E18" s="55">
        <f t="shared" ref="E18:F18" si="5">IF(E16-E17&gt;0,0,-(E16-E17))</f>
        <v>1264031923</v>
      </c>
      <c r="F18" s="55">
        <f t="shared" si="5"/>
        <v>1170062506.0999999</v>
      </c>
      <c r="H18" s="41">
        <f>B19</f>
        <v>3388967936</v>
      </c>
    </row>
    <row r="19" spans="1:8" ht="15.75" x14ac:dyDescent="0.25">
      <c r="A19" s="44" t="s">
        <v>73</v>
      </c>
      <c r="B19" s="51">
        <v>3388967936</v>
      </c>
      <c r="C19" s="51">
        <v>5650415799</v>
      </c>
      <c r="D19" s="51">
        <v>1749021539</v>
      </c>
      <c r="E19" s="51">
        <v>3027520597</v>
      </c>
      <c r="F19" s="51">
        <v>1704609215</v>
      </c>
      <c r="H19" s="42">
        <f>H17+H18</f>
        <v>243672110</v>
      </c>
    </row>
    <row r="20" spans="1:8" ht="18.75" x14ac:dyDescent="0.25">
      <c r="A20" s="72" t="s">
        <v>66</v>
      </c>
      <c r="B20" s="73"/>
      <c r="C20" s="73"/>
      <c r="D20" s="73"/>
      <c r="E20" s="73"/>
      <c r="F20" s="74"/>
    </row>
    <row r="21" spans="1:8" ht="15.75" x14ac:dyDescent="0.25">
      <c r="A21" s="7" t="s">
        <v>18</v>
      </c>
      <c r="B21" s="50">
        <f>B18</f>
        <v>0</v>
      </c>
      <c r="C21" s="50">
        <f>C18</f>
        <v>62369265.5</v>
      </c>
      <c r="D21" s="50">
        <f>D18+C21</f>
        <v>477921226</v>
      </c>
      <c r="E21" s="50">
        <f>IF(E16-E17-D21&gt;0,0,-(E16-E17-D21))</f>
        <v>1741953149</v>
      </c>
      <c r="F21" s="50">
        <f>IF(F16-F17-E21&gt;0,0,-(F16-F17-E21))</f>
        <v>2912015655.0999999</v>
      </c>
    </row>
    <row r="22" spans="1:8" ht="18.75" x14ac:dyDescent="0.25">
      <c r="A22" s="72" t="s">
        <v>80</v>
      </c>
      <c r="B22" s="73"/>
      <c r="C22" s="73"/>
      <c r="D22" s="73"/>
      <c r="E22" s="73"/>
      <c r="F22" s="74"/>
    </row>
    <row r="23" spans="1:8" ht="30" x14ac:dyDescent="0.25">
      <c r="A23" s="57" t="s">
        <v>81</v>
      </c>
      <c r="B23" s="50">
        <v>0</v>
      </c>
      <c r="C23" s="50">
        <v>0</v>
      </c>
      <c r="D23" s="50">
        <f t="shared" ref="D23:E24" si="6">IF(D16-D17-C21&gt;0,0,-(D16-D17-C21))</f>
        <v>477921226</v>
      </c>
      <c r="E23" s="50">
        <f t="shared" si="6"/>
        <v>1741953149</v>
      </c>
      <c r="F23" s="50">
        <f>IF(F16-F17-E21&gt;0,0,-(F16-F17-E21))</f>
        <v>2912015655.0999999</v>
      </c>
    </row>
    <row r="24" spans="1:8" ht="30" x14ac:dyDescent="0.25">
      <c r="A24" s="57" t="s">
        <v>82</v>
      </c>
      <c r="B24" s="50">
        <f>IF(B16-B17-E23&gt;0,0,-(B16-B17-E23))</f>
        <v>0</v>
      </c>
      <c r="C24" s="50">
        <f>IF(C16-C17-F23&gt;0,0,-(C16-C17-F23))</f>
        <v>2974384920.5999999</v>
      </c>
      <c r="D24" s="50">
        <f>IF(D16-D17-C21&gt;0,0,-(D16-D17-C21))</f>
        <v>477921226</v>
      </c>
      <c r="E24" s="50">
        <v>0</v>
      </c>
      <c r="F24" s="50">
        <v>0</v>
      </c>
      <c r="H24" s="42">
        <f>B16-B17</f>
        <v>4152273087.3000002</v>
      </c>
    </row>
    <row r="25" spans="1:8" ht="18.75" x14ac:dyDescent="0.25">
      <c r="A25" s="71" t="s">
        <v>83</v>
      </c>
      <c r="B25" s="71"/>
      <c r="C25" s="71"/>
      <c r="D25" s="71"/>
      <c r="E25" s="71"/>
      <c r="F25" s="71"/>
    </row>
    <row r="26" spans="1:8" ht="30" x14ac:dyDescent="0.25">
      <c r="A26" s="57" t="s">
        <v>84</v>
      </c>
      <c r="B26" s="50">
        <v>0</v>
      </c>
      <c r="C26" s="50">
        <f t="shared" ref="C26:E26" si="7">IF(C18-B21-C11&gt;0,0,-(C18-B21-C11))</f>
        <v>0</v>
      </c>
      <c r="D26" s="50">
        <f>IF(D16-D17-C21&gt;0,0,-(D16-D17-C21))</f>
        <v>477921226</v>
      </c>
      <c r="E26" s="50">
        <f t="shared" ref="E26:F26" si="8">IF(E16-E17-D21&gt;0,0,-(E16-E17-D21))</f>
        <v>1741953149</v>
      </c>
      <c r="F26" s="50">
        <f t="shared" si="8"/>
        <v>2912015655.0999999</v>
      </c>
    </row>
    <row r="27" spans="1:8" x14ac:dyDescent="0.25">
      <c r="A27" s="29" t="s">
        <v>85</v>
      </c>
      <c r="B27" s="50">
        <f>IF(B16-B17&lt;0,0,(B16-B17))</f>
        <v>4152273087.3000002</v>
      </c>
      <c r="C27" s="50">
        <f>IF(C16-C17+B27&lt;0,0,(C16-C17+B27))</f>
        <v>4089903821.8000002</v>
      </c>
      <c r="D27" s="50">
        <f t="shared" ref="D27:F27" si="9">IF(D16-D17+C27&lt;0,0,(D16-D17+C27))</f>
        <v>3674351861.3000002</v>
      </c>
      <c r="E27" s="50">
        <f t="shared" si="9"/>
        <v>2410319938.3000002</v>
      </c>
      <c r="F27" s="50">
        <f t="shared" si="9"/>
        <v>1240257432.2000003</v>
      </c>
    </row>
    <row r="28" spans="1:8" x14ac:dyDescent="0.25">
      <c r="A28" s="29" t="s">
        <v>44</v>
      </c>
      <c r="B28" s="50">
        <f>B27</f>
        <v>4152273087.3000002</v>
      </c>
      <c r="C28" s="58">
        <f t="shared" ref="B28:C28" si="10">IF(C16+B27&lt;0,0,(C16+B27))</f>
        <v>4283320171.8000002</v>
      </c>
      <c r="D28" s="58">
        <f>IF(D16+C27&lt;0,0,(D16+C27))</f>
        <v>4211842699.3000002</v>
      </c>
      <c r="E28" s="58">
        <f t="shared" ref="E28:F28" si="11">IF(E16+D27&lt;0,0,(E16+D27))</f>
        <v>3674351861.3000002</v>
      </c>
      <c r="F28" s="58">
        <f t="shared" si="11"/>
        <v>2448006101.2000003</v>
      </c>
    </row>
    <row r="29" spans="1:8" ht="30" x14ac:dyDescent="0.25">
      <c r="A29" s="57" t="s">
        <v>86</v>
      </c>
      <c r="B29" s="50">
        <f>B23</f>
        <v>0</v>
      </c>
      <c r="C29" s="50">
        <f>C23</f>
        <v>0</v>
      </c>
      <c r="D29" s="59">
        <f t="shared" ref="D29:E29" si="12">IF(D16+C27-C29-D17&gt;0,0,-(D16+C27-C29-D17))</f>
        <v>0</v>
      </c>
      <c r="E29" s="59">
        <f t="shared" si="12"/>
        <v>0</v>
      </c>
      <c r="F29" s="59">
        <f>IF(F16+E27-E29-F17&gt;0,0,-(F16+E27-E29-F17))</f>
        <v>0</v>
      </c>
    </row>
  </sheetData>
  <mergeCells count="3">
    <mergeCell ref="A22:F22"/>
    <mergeCell ref="A20:F20"/>
    <mergeCell ref="A25:F2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zoomScale="69" zoomScaleNormal="69" workbookViewId="0">
      <selection activeCell="G6" sqref="G6"/>
    </sheetView>
  </sheetViews>
  <sheetFormatPr baseColWidth="10" defaultRowHeight="15" x14ac:dyDescent="0.25"/>
  <cols>
    <col min="1" max="1" width="50.85546875" customWidth="1"/>
    <col min="2" max="3" width="20.28515625" hidden="1" customWidth="1"/>
    <col min="4" max="6" width="20.28515625" bestFit="1" customWidth="1"/>
    <col min="7" max="7" width="51.28515625" bestFit="1" customWidth="1"/>
    <col min="8" max="10" width="20.28515625" bestFit="1" customWidth="1"/>
    <col min="12" max="12" width="70.140625" bestFit="1" customWidth="1"/>
  </cols>
  <sheetData>
    <row r="1" spans="1:12" ht="18.75" x14ac:dyDescent="0.25">
      <c r="A1" s="1" t="s">
        <v>0</v>
      </c>
      <c r="B1" s="2">
        <v>2011</v>
      </c>
      <c r="C1" s="2">
        <v>2012</v>
      </c>
      <c r="D1" s="2">
        <v>2013</v>
      </c>
      <c r="E1" s="2">
        <v>2014</v>
      </c>
      <c r="F1" s="2">
        <v>2015</v>
      </c>
      <c r="G1" s="1" t="s">
        <v>26</v>
      </c>
      <c r="H1" s="2">
        <v>2013</v>
      </c>
      <c r="I1" s="2">
        <v>2014</v>
      </c>
      <c r="J1" s="2">
        <v>2015</v>
      </c>
      <c r="K1" s="18"/>
      <c r="L1" s="13" t="s">
        <v>16</v>
      </c>
    </row>
    <row r="2" spans="1:12" ht="15.75" x14ac:dyDescent="0.25">
      <c r="A2" s="4" t="s">
        <v>9</v>
      </c>
      <c r="B2" s="3">
        <v>18490546293</v>
      </c>
      <c r="C2" s="3">
        <v>5978762715</v>
      </c>
      <c r="D2" s="51">
        <v>1748957436</v>
      </c>
      <c r="E2" s="51">
        <v>1674655942</v>
      </c>
      <c r="F2" s="51">
        <v>924636826</v>
      </c>
      <c r="G2" s="4" t="s">
        <v>89</v>
      </c>
      <c r="H2" s="51">
        <v>18534000000</v>
      </c>
      <c r="I2" s="51">
        <v>11302000000</v>
      </c>
      <c r="J2" s="51">
        <v>9867000000</v>
      </c>
      <c r="L2" s="19" t="s">
        <v>32</v>
      </c>
    </row>
    <row r="3" spans="1:12" ht="15.75" x14ac:dyDescent="0.25">
      <c r="A3" s="5" t="s">
        <v>15</v>
      </c>
      <c r="B3" s="9">
        <f>-3567334670</f>
        <v>-3567334670</v>
      </c>
      <c r="C3" s="9">
        <v>-5947806104</v>
      </c>
      <c r="D3" s="51">
        <v>-1841075304</v>
      </c>
      <c r="E3" s="51">
        <v>-3186863787</v>
      </c>
      <c r="F3" s="51">
        <v>-2234056601</v>
      </c>
      <c r="G3" s="5" t="s">
        <v>88</v>
      </c>
      <c r="H3" s="51">
        <v>-286000000</v>
      </c>
      <c r="I3" s="51">
        <v>-335000000</v>
      </c>
      <c r="J3" s="51">
        <v>-339000000</v>
      </c>
      <c r="L3" s="19" t="s">
        <v>33</v>
      </c>
    </row>
    <row r="4" spans="1:12" ht="15.75" x14ac:dyDescent="0.25">
      <c r="A4" s="5" t="s">
        <v>65</v>
      </c>
      <c r="B4" s="3">
        <v>-216991864</v>
      </c>
      <c r="C4" s="3">
        <v>-144380202</v>
      </c>
      <c r="D4" s="51">
        <v>-205247287</v>
      </c>
      <c r="E4" s="51">
        <v>-322419089</v>
      </c>
      <c r="F4" s="51">
        <v>-392501538</v>
      </c>
      <c r="G4" s="5" t="s">
        <v>90</v>
      </c>
      <c r="H4" s="51"/>
      <c r="I4" s="51"/>
      <c r="J4" s="51"/>
      <c r="L4" s="20" t="s">
        <v>24</v>
      </c>
    </row>
    <row r="5" spans="1:12" ht="15.75" x14ac:dyDescent="0.25">
      <c r="A5" s="5" t="s">
        <v>10</v>
      </c>
      <c r="B5" s="9">
        <v>-1077115031</v>
      </c>
      <c r="C5" s="9">
        <v>-1302990692</v>
      </c>
      <c r="D5" s="51">
        <v>-1337013700</v>
      </c>
      <c r="E5" s="51">
        <v>-2326852138</v>
      </c>
      <c r="F5" s="51">
        <v>-4705785370</v>
      </c>
      <c r="G5" s="5" t="s">
        <v>91</v>
      </c>
      <c r="H5" s="51">
        <f>945000000-H3</f>
        <v>1231000000</v>
      </c>
      <c r="I5" s="51">
        <f>-1478000000-I3</f>
        <v>-1143000000</v>
      </c>
      <c r="J5" s="51">
        <f>-1689000000-J3</f>
        <v>-1350000000</v>
      </c>
      <c r="L5" s="20" t="s">
        <v>25</v>
      </c>
    </row>
    <row r="6" spans="1:12" ht="15.75" x14ac:dyDescent="0.25">
      <c r="A6" s="5" t="s">
        <v>3</v>
      </c>
      <c r="B6" s="3">
        <v>503577094</v>
      </c>
      <c r="C6" s="3">
        <v>522594084</v>
      </c>
      <c r="D6" s="51">
        <v>547895419</v>
      </c>
      <c r="E6" s="51">
        <v>727699015</v>
      </c>
      <c r="F6" s="51">
        <v>808580436</v>
      </c>
      <c r="G6" s="5" t="s">
        <v>92</v>
      </c>
      <c r="H6" s="51">
        <v>2043000000</v>
      </c>
      <c r="I6" s="51">
        <v>2008000000</v>
      </c>
      <c r="J6" s="51">
        <v>1833000000</v>
      </c>
      <c r="L6" s="21" t="s">
        <v>27</v>
      </c>
    </row>
    <row r="7" spans="1:12" ht="15.75" x14ac:dyDescent="0.25">
      <c r="A7" s="8" t="s">
        <v>4</v>
      </c>
      <c r="B7" s="3">
        <v>0</v>
      </c>
      <c r="C7" s="3">
        <v>0</v>
      </c>
      <c r="D7" s="51">
        <v>0</v>
      </c>
      <c r="E7" s="51">
        <v>0</v>
      </c>
      <c r="F7" s="51">
        <v>0</v>
      </c>
      <c r="G7" s="8" t="s">
        <v>93</v>
      </c>
      <c r="H7" s="51"/>
      <c r="I7" s="51"/>
      <c r="J7" s="51"/>
      <c r="L7" s="20" t="s">
        <v>29</v>
      </c>
    </row>
    <row r="8" spans="1:12" ht="15.75" x14ac:dyDescent="0.25">
      <c r="A8" s="5" t="s">
        <v>5</v>
      </c>
      <c r="B8" s="3">
        <v>1212568645</v>
      </c>
      <c r="C8" s="3">
        <v>1271203263</v>
      </c>
      <c r="D8" s="51">
        <v>1418662884</v>
      </c>
      <c r="E8" s="51">
        <v>3022528236</v>
      </c>
      <c r="F8" s="51">
        <v>5634400989</v>
      </c>
      <c r="G8" s="5" t="s">
        <v>94</v>
      </c>
      <c r="H8" s="51">
        <f>3148000000-H6</f>
        <v>1105000000</v>
      </c>
      <c r="I8" s="51">
        <f>2791000000-I6</f>
        <v>783000000</v>
      </c>
      <c r="J8" s="51">
        <f>3142000000-J6</f>
        <v>1309000000</v>
      </c>
      <c r="L8" s="22" t="s">
        <v>30</v>
      </c>
    </row>
    <row r="9" spans="1:12" ht="15.75" x14ac:dyDescent="0.25">
      <c r="A9" s="4" t="s">
        <v>1</v>
      </c>
      <c r="B9" s="3">
        <f>SUM(B2:B8)</f>
        <v>15345250467</v>
      </c>
      <c r="C9" s="3">
        <f>SUM(C2:C8)</f>
        <v>377383064</v>
      </c>
      <c r="D9" s="51">
        <f>SUM(D2:D8)</f>
        <v>332179448</v>
      </c>
      <c r="E9" s="51">
        <f>SUM(E2:E8)</f>
        <v>-411251821</v>
      </c>
      <c r="F9" s="51">
        <f>SUM(F2:F8)</f>
        <v>35274742</v>
      </c>
      <c r="G9" s="4" t="s">
        <v>1</v>
      </c>
      <c r="H9" s="51">
        <v>20443000000</v>
      </c>
      <c r="I9" s="51">
        <v>15111000000</v>
      </c>
      <c r="J9" s="51">
        <v>13904000000</v>
      </c>
      <c r="L9" s="23" t="s">
        <v>31</v>
      </c>
    </row>
    <row r="10" spans="1:12" ht="47.25" hidden="1" x14ac:dyDescent="0.25">
      <c r="A10" s="6" t="s">
        <v>6</v>
      </c>
      <c r="B10" s="12">
        <v>63079297</v>
      </c>
      <c r="C10" s="3">
        <v>59567264</v>
      </c>
      <c r="D10" s="51">
        <v>74283477</v>
      </c>
      <c r="E10" s="51">
        <v>84156387</v>
      </c>
      <c r="F10" s="51">
        <v>90329754</v>
      </c>
      <c r="G10" s="6" t="s">
        <v>95</v>
      </c>
      <c r="H10" s="51"/>
      <c r="I10" s="51"/>
      <c r="J10" s="51"/>
      <c r="L10" s="22" t="s">
        <v>63</v>
      </c>
    </row>
    <row r="11" spans="1:12" ht="47.25" hidden="1" x14ac:dyDescent="0.25">
      <c r="A11" s="6" t="s">
        <v>7</v>
      </c>
      <c r="B11" s="12">
        <v>-31872893</v>
      </c>
      <c r="C11" s="3">
        <v>-126713</v>
      </c>
      <c r="D11" s="51"/>
      <c r="E11" s="51"/>
      <c r="F11" s="51">
        <v>16047</v>
      </c>
      <c r="G11" s="6" t="s">
        <v>96</v>
      </c>
      <c r="H11" s="51"/>
      <c r="I11" s="51"/>
      <c r="J11" s="51"/>
      <c r="L11" s="24" t="s">
        <v>35</v>
      </c>
    </row>
    <row r="12" spans="1:12" ht="47.25" hidden="1" x14ac:dyDescent="0.25">
      <c r="A12" s="6" t="s">
        <v>8</v>
      </c>
      <c r="B12" s="3">
        <v>0</v>
      </c>
      <c r="C12" s="3">
        <v>0</v>
      </c>
      <c r="D12" s="51">
        <v>0</v>
      </c>
      <c r="E12" s="51">
        <v>0</v>
      </c>
      <c r="F12" s="51">
        <v>0</v>
      </c>
      <c r="G12" s="6" t="s">
        <v>97</v>
      </c>
      <c r="H12" s="51"/>
      <c r="I12" s="51"/>
      <c r="J12" s="51"/>
      <c r="L12" s="25" t="s">
        <v>37</v>
      </c>
    </row>
    <row r="13" spans="1:12" ht="47.25" hidden="1" x14ac:dyDescent="0.25">
      <c r="A13" s="6" t="s">
        <v>11</v>
      </c>
      <c r="B13" s="9">
        <v>0</v>
      </c>
      <c r="C13" s="9">
        <v>0</v>
      </c>
      <c r="D13" s="51">
        <v>0</v>
      </c>
      <c r="E13" s="51">
        <v>0</v>
      </c>
      <c r="F13" s="51">
        <v>0</v>
      </c>
      <c r="G13" s="6" t="s">
        <v>98</v>
      </c>
      <c r="H13" s="51"/>
      <c r="I13" s="51"/>
      <c r="J13" s="51"/>
    </row>
    <row r="14" spans="1:12" ht="15.75" x14ac:dyDescent="0.25">
      <c r="A14" s="4" t="s">
        <v>74</v>
      </c>
      <c r="B14" s="3">
        <f t="shared" ref="B14:C14" si="0">SUM(B9:B13)</f>
        <v>15376456871</v>
      </c>
      <c r="C14" s="3">
        <f t="shared" si="0"/>
        <v>436823615</v>
      </c>
      <c r="D14" s="51">
        <f>SUM(D9:D13)</f>
        <v>406462925</v>
      </c>
      <c r="E14" s="51">
        <f>SUM(E9:E13)</f>
        <v>-327095434</v>
      </c>
      <c r="F14" s="51">
        <f>SUM(F9:F13)</f>
        <v>125620543</v>
      </c>
      <c r="G14" s="4" t="s">
        <v>100</v>
      </c>
      <c r="H14" s="51">
        <v>23428000000</v>
      </c>
      <c r="I14" s="51">
        <v>18465000000</v>
      </c>
      <c r="J14" s="51">
        <v>17057000000</v>
      </c>
    </row>
    <row r="15" spans="1:12" ht="15.75" x14ac:dyDescent="0.25">
      <c r="A15" s="6" t="s">
        <v>2</v>
      </c>
      <c r="B15" s="10">
        <v>0.3</v>
      </c>
      <c r="C15" s="10">
        <v>0.3</v>
      </c>
      <c r="D15" s="53">
        <v>0.3</v>
      </c>
      <c r="E15" s="53">
        <v>0.3</v>
      </c>
      <c r="F15" s="53">
        <v>0.3</v>
      </c>
      <c r="G15" s="6" t="s">
        <v>2</v>
      </c>
      <c r="H15" s="53">
        <v>0.3</v>
      </c>
      <c r="I15" s="53">
        <v>0.3</v>
      </c>
      <c r="J15" s="53">
        <v>0.3</v>
      </c>
    </row>
    <row r="16" spans="1:12" ht="15.75" x14ac:dyDescent="0.25">
      <c r="A16" s="4" t="s">
        <v>75</v>
      </c>
      <c r="B16" s="28" t="e">
        <f>IF(#REF!*B15&lt;0,0,#REF!*B15)</f>
        <v>#REF!</v>
      </c>
      <c r="C16" s="28" t="e">
        <f>IF(#REF!*C15&lt;0,0,#REF!*C15)</f>
        <v>#REF!</v>
      </c>
      <c r="D16" s="52">
        <f>IF(D14*D15&lt;0,0,D14*D15)</f>
        <v>121938877.5</v>
      </c>
      <c r="E16" s="60">
        <f t="shared" ref="E16:F16" si="1">IF(E14*E15&lt;0,0,E14*E15)</f>
        <v>0</v>
      </c>
      <c r="F16" s="52">
        <f t="shared" si="1"/>
        <v>37686162.899999999</v>
      </c>
      <c r="G16" s="4" t="s">
        <v>75</v>
      </c>
      <c r="H16" s="51">
        <f t="shared" ref="H16:I16" si="2">IF(H14*H15&lt;0,-(H14*H15),H14*H15)</f>
        <v>7028400000</v>
      </c>
      <c r="I16" s="51">
        <f t="shared" si="2"/>
        <v>5539500000</v>
      </c>
      <c r="J16" s="51">
        <f>IF(J14*J15&lt;0,-(J14*J15),J14*J15)</f>
        <v>5117100000</v>
      </c>
    </row>
    <row r="17" spans="1:10" ht="15.75" x14ac:dyDescent="0.25">
      <c r="A17" s="43" t="s">
        <v>76</v>
      </c>
      <c r="B17" s="28">
        <f>IF(SUM(B6:B8)+SUM(B3:B5)+B19&lt;0,0,SUM(B6:B8)+SUM(B3:B5)+B19)</f>
        <v>243672110</v>
      </c>
      <c r="C17" s="28">
        <f>IF(SUM(C6:C8)+SUM(C3:C5)+C19&lt;0,0,SUM(C6:C8)+SUM(C3:C5)+C19)</f>
        <v>49036148</v>
      </c>
      <c r="D17" s="51">
        <f t="shared" ref="D17:F17" si="3">IF(D6+D8+D3+D5+D19&lt;0,0,D6+D8+D3+D5+D19)</f>
        <v>537490838</v>
      </c>
      <c r="E17" s="51">
        <f t="shared" si="3"/>
        <v>1264031923</v>
      </c>
      <c r="F17" s="51">
        <f t="shared" si="3"/>
        <v>1207748669</v>
      </c>
      <c r="G17" s="43" t="s">
        <v>76</v>
      </c>
      <c r="H17" s="51">
        <f>IF(SUM(H6+H3)&lt;0,0,SUM(H6+H3))</f>
        <v>1757000000</v>
      </c>
      <c r="I17" s="51">
        <f t="shared" ref="I17:J17" si="4">IF(SUM(I6+I3)&lt;0,0,SUM(I6+I3))</f>
        <v>1673000000</v>
      </c>
      <c r="J17" s="51">
        <f t="shared" si="4"/>
        <v>1494000000</v>
      </c>
    </row>
    <row r="18" spans="1:10" ht="15.75" x14ac:dyDescent="0.25">
      <c r="A18" s="7" t="s">
        <v>13</v>
      </c>
      <c r="B18" s="27" t="e">
        <f t="shared" ref="B18:C18" si="5">IF(B16-B17&gt;0,0,-(B16-B17))</f>
        <v>#REF!</v>
      </c>
      <c r="C18" s="27" t="e">
        <f t="shared" si="5"/>
        <v>#REF!</v>
      </c>
      <c r="D18" s="55">
        <f>IF(D16-D17&gt;0,0,-(D16-D17))</f>
        <v>415551960.5</v>
      </c>
      <c r="E18" s="51">
        <f t="shared" ref="E18:F18" si="6">IF(E16-E17&gt;0,0,-(E16-E17))</f>
        <v>1264031923</v>
      </c>
      <c r="F18" s="55">
        <f t="shared" si="6"/>
        <v>1170062506.0999999</v>
      </c>
      <c r="G18" s="7" t="s">
        <v>13</v>
      </c>
      <c r="H18" s="51">
        <f t="shared" ref="H18:I18" si="7">IF(H16-H17&gt;0,0,-(H16-H17))</f>
        <v>0</v>
      </c>
      <c r="I18" s="51">
        <f t="shared" si="7"/>
        <v>0</v>
      </c>
      <c r="J18" s="51">
        <f>IF(J16-J17&gt;0,0,-(J16-J17))</f>
        <v>0</v>
      </c>
    </row>
    <row r="19" spans="1:10" ht="15.75" x14ac:dyDescent="0.25">
      <c r="A19" s="67" t="s">
        <v>73</v>
      </c>
      <c r="B19" s="68">
        <v>3388967936</v>
      </c>
      <c r="C19" s="68">
        <v>5650415799</v>
      </c>
      <c r="D19" s="69">
        <v>1749021539</v>
      </c>
      <c r="E19" s="69">
        <v>3027520597</v>
      </c>
      <c r="F19" s="69">
        <v>1704609215</v>
      </c>
      <c r="G19" s="67" t="s">
        <v>99</v>
      </c>
      <c r="H19" s="69">
        <f>606000000</f>
        <v>606000000</v>
      </c>
      <c r="I19" s="69">
        <f>22000000</f>
        <v>22000000</v>
      </c>
      <c r="J19" s="69">
        <f>30000000</f>
        <v>30000000</v>
      </c>
    </row>
    <row r="20" spans="1:10" ht="36" customHeight="1" x14ac:dyDescent="0.25">
      <c r="A20" s="106" t="s">
        <v>60</v>
      </c>
      <c r="B20" s="106"/>
      <c r="C20" s="106"/>
      <c r="D20" s="106"/>
      <c r="E20" s="106"/>
      <c r="F20" s="106"/>
      <c r="G20" s="105"/>
      <c r="H20" s="103"/>
      <c r="I20" s="103"/>
      <c r="J20" s="104"/>
    </row>
    <row r="21" spans="1:10" x14ac:dyDescent="0.25">
      <c r="A21" s="97" t="s">
        <v>28</v>
      </c>
      <c r="B21" s="98">
        <f>B6/B14</f>
        <v>3.2749878481417034E-2</v>
      </c>
      <c r="C21" s="98">
        <f>C6/C14</f>
        <v>1.1963503484123679</v>
      </c>
      <c r="D21" s="98">
        <f>H6/H14</f>
        <v>8.7203346423083486E-2</v>
      </c>
      <c r="E21" s="98">
        <f t="shared" ref="E21:F21" si="8">I6/I14</f>
        <v>0.10874627673977796</v>
      </c>
      <c r="F21" s="98">
        <f t="shared" si="8"/>
        <v>0.10746321158468664</v>
      </c>
      <c r="G21" s="64" t="s">
        <v>28</v>
      </c>
      <c r="H21" s="70">
        <f>H6/H14</f>
        <v>8.7203346423083486E-2</v>
      </c>
      <c r="I21" s="70">
        <f>I6/I14</f>
        <v>0.10874627673977796</v>
      </c>
      <c r="J21" s="70">
        <f>J6/J14</f>
        <v>0.10746321158468664</v>
      </c>
    </row>
    <row r="22" spans="1:10" x14ac:dyDescent="0.25">
      <c r="A22" s="31" t="s">
        <v>45</v>
      </c>
      <c r="B22" s="14"/>
      <c r="C22" s="14"/>
      <c r="D22" s="99">
        <f>IF(H21*D14&lt;0,0,H21*D14)</f>
        <v>35444927.256914802</v>
      </c>
      <c r="E22" s="100">
        <f t="shared" ref="E22:F22" si="9">IF(I21*E14&lt;0,0,I21*E14)</f>
        <v>0</v>
      </c>
      <c r="F22" s="99">
        <f t="shared" si="9"/>
        <v>13499586.991792226</v>
      </c>
      <c r="G22" s="79"/>
      <c r="H22" s="61"/>
      <c r="I22" s="61"/>
      <c r="J22" s="61"/>
    </row>
    <row r="23" spans="1:10" ht="15.75" x14ac:dyDescent="0.25">
      <c r="A23" s="101" t="s">
        <v>46</v>
      </c>
      <c r="B23" s="14"/>
      <c r="C23" s="14"/>
      <c r="D23" s="102">
        <f>IF(H22-D17&lt;0,-(H22-D17),H22-D17)</f>
        <v>537490838</v>
      </c>
      <c r="E23" s="100">
        <f t="shared" ref="E23:F23" si="10">IF(I22-E17&lt;0,-(I22-E17),I22-E17)</f>
        <v>1264031923</v>
      </c>
      <c r="F23" s="102">
        <f t="shared" si="10"/>
        <v>1207748669</v>
      </c>
      <c r="G23" s="79"/>
      <c r="H23" s="61"/>
      <c r="I23" s="61"/>
      <c r="J23" s="61"/>
    </row>
    <row r="26" spans="1:10" ht="18.75" x14ac:dyDescent="0.25">
      <c r="G26" s="1" t="s">
        <v>26</v>
      </c>
      <c r="H26" s="2">
        <v>2013</v>
      </c>
      <c r="I26" s="2">
        <v>2014</v>
      </c>
      <c r="J26" s="2">
        <v>2015</v>
      </c>
    </row>
    <row r="27" spans="1:10" x14ac:dyDescent="0.25">
      <c r="A27" t="s">
        <v>70</v>
      </c>
      <c r="D27" s="42">
        <f>D3+1749021539</f>
        <v>-92053765</v>
      </c>
      <c r="E27" s="42">
        <f>E3+3027520597</f>
        <v>-159343190</v>
      </c>
      <c r="F27" s="42">
        <f>F3+1704609215</f>
        <v>-529447386</v>
      </c>
      <c r="G27" s="4" t="s">
        <v>89</v>
      </c>
      <c r="H27" s="51">
        <v>18534000000</v>
      </c>
      <c r="I27" s="51">
        <v>11302000000</v>
      </c>
      <c r="J27" s="51">
        <v>9867000000</v>
      </c>
    </row>
    <row r="28" spans="1:10" ht="15.75" x14ac:dyDescent="0.25">
      <c r="A28" t="s">
        <v>71</v>
      </c>
      <c r="D28" s="42">
        <f>D6+D27</f>
        <v>455841654</v>
      </c>
      <c r="E28" s="42">
        <f>E6+E27</f>
        <v>568355825</v>
      </c>
      <c r="F28" s="42">
        <f>F6+F27</f>
        <v>279133050</v>
      </c>
      <c r="G28" s="5" t="s">
        <v>88</v>
      </c>
      <c r="H28" s="51">
        <v>-286000000</v>
      </c>
      <c r="I28" s="51">
        <v>-335000000</v>
      </c>
      <c r="J28" s="51">
        <v>-339000000</v>
      </c>
    </row>
    <row r="29" spans="1:10" ht="15.75" x14ac:dyDescent="0.25">
      <c r="A29" t="s">
        <v>72</v>
      </c>
      <c r="D29" s="42">
        <f>D2+D17+SUM(D10:D13)</f>
        <v>2360731751</v>
      </c>
      <c r="E29" s="42">
        <f>E2+E17+SUM(E10:E13)</f>
        <v>3022844252</v>
      </c>
      <c r="F29" s="42">
        <f>F2+F17+SUM(F10:F13)</f>
        <v>2222731296</v>
      </c>
      <c r="G29" s="5" t="s">
        <v>90</v>
      </c>
      <c r="H29" s="51"/>
      <c r="I29" s="51"/>
      <c r="J29" s="51"/>
    </row>
    <row r="30" spans="1:10" ht="15.75" x14ac:dyDescent="0.25">
      <c r="A30" t="s">
        <v>12</v>
      </c>
      <c r="D30">
        <f>D29*D15</f>
        <v>708219525.29999995</v>
      </c>
      <c r="E30">
        <f>E29*E15</f>
        <v>906853275.60000002</v>
      </c>
      <c r="F30">
        <f>F29*F15</f>
        <v>666819388.79999995</v>
      </c>
      <c r="G30" s="5" t="s">
        <v>91</v>
      </c>
      <c r="H30" s="51">
        <f>945000000-H28</f>
        <v>1231000000</v>
      </c>
      <c r="I30" s="51">
        <f>-1478000000-I28</f>
        <v>-1143000000</v>
      </c>
      <c r="J30" s="51">
        <f>-1689000000-J28</f>
        <v>-1350000000</v>
      </c>
    </row>
    <row r="31" spans="1:10" ht="15.75" x14ac:dyDescent="0.25">
      <c r="D31" s="45">
        <f>IF(D30-D17&gt;0,0,-(D30-D17))</f>
        <v>0</v>
      </c>
      <c r="E31" s="45">
        <f>IF(E30-E17&gt;0,0,-(E30-E17))</f>
        <v>357178647.39999998</v>
      </c>
      <c r="F31" s="45">
        <f>IF(F30-F17&gt;0,0,-(F30-F17))</f>
        <v>540929280.20000005</v>
      </c>
      <c r="G31" s="5" t="s">
        <v>92</v>
      </c>
      <c r="H31" s="51">
        <v>2043000000</v>
      </c>
      <c r="I31" s="51">
        <v>2008000000</v>
      </c>
      <c r="J31" s="51">
        <v>1833000000</v>
      </c>
    </row>
    <row r="32" spans="1:10" ht="15.75" x14ac:dyDescent="0.25">
      <c r="G32" s="8" t="s">
        <v>93</v>
      </c>
      <c r="H32" s="51"/>
      <c r="I32" s="51"/>
      <c r="J32" s="51"/>
    </row>
    <row r="33" spans="7:10" ht="15.75" x14ac:dyDescent="0.25">
      <c r="G33" s="5" t="s">
        <v>94</v>
      </c>
      <c r="H33" s="51">
        <f>3148000000-H31</f>
        <v>1105000000</v>
      </c>
      <c r="I33" s="51">
        <f>2791000000-I31</f>
        <v>783000000</v>
      </c>
      <c r="J33" s="51">
        <f>3142000000-J31</f>
        <v>1309000000</v>
      </c>
    </row>
    <row r="34" spans="7:10" x14ac:dyDescent="0.25">
      <c r="G34" s="4" t="s">
        <v>1</v>
      </c>
      <c r="H34" s="51">
        <v>20443000000</v>
      </c>
      <c r="I34" s="51">
        <v>15111000000</v>
      </c>
      <c r="J34" s="51">
        <v>13904000000</v>
      </c>
    </row>
    <row r="35" spans="7:10" ht="47.25" x14ac:dyDescent="0.25">
      <c r="G35" s="6" t="s">
        <v>95</v>
      </c>
      <c r="H35" s="51"/>
      <c r="I35" s="51"/>
      <c r="J35" s="51"/>
    </row>
    <row r="36" spans="7:10" ht="47.25" x14ac:dyDescent="0.25">
      <c r="G36" s="6" t="s">
        <v>96</v>
      </c>
      <c r="H36" s="51"/>
      <c r="I36" s="51"/>
      <c r="J36" s="51"/>
    </row>
    <row r="37" spans="7:10" ht="47.25" x14ac:dyDescent="0.25">
      <c r="G37" s="6" t="s">
        <v>97</v>
      </c>
      <c r="H37" s="51"/>
      <c r="I37" s="51"/>
      <c r="J37" s="51"/>
    </row>
    <row r="38" spans="7:10" ht="47.25" x14ac:dyDescent="0.25">
      <c r="G38" s="6" t="s">
        <v>98</v>
      </c>
      <c r="H38" s="51"/>
      <c r="I38" s="51"/>
      <c r="J38" s="51"/>
    </row>
    <row r="39" spans="7:10" x14ac:dyDescent="0.25">
      <c r="G39" s="4" t="s">
        <v>74</v>
      </c>
      <c r="H39" s="51">
        <v>8000000000</v>
      </c>
      <c r="I39" s="51">
        <v>18465000000</v>
      </c>
      <c r="J39" s="51">
        <v>17057000000</v>
      </c>
    </row>
    <row r="40" spans="7:10" ht="15.75" x14ac:dyDescent="0.25">
      <c r="G40" s="6" t="s">
        <v>2</v>
      </c>
      <c r="H40" s="53">
        <v>0.3</v>
      </c>
      <c r="I40" s="53">
        <v>0.3</v>
      </c>
      <c r="J40" s="53">
        <v>0.3</v>
      </c>
    </row>
    <row r="41" spans="7:10" x14ac:dyDescent="0.25">
      <c r="G41" s="4" t="s">
        <v>75</v>
      </c>
      <c r="H41" s="51">
        <f t="shared" ref="H41" si="11">IF(H39*H40&lt;0,-(H39*H40),H39*H40)</f>
        <v>2400000000</v>
      </c>
      <c r="I41" s="51">
        <f t="shared" ref="I41" si="12">IF(I39*I40&lt;0,-(I39*I40),I39*I40)</f>
        <v>5539500000</v>
      </c>
      <c r="J41" s="51">
        <f>IF(J39*J40&lt;0,-(J39*J40),J39*J40)</f>
        <v>5117100000</v>
      </c>
    </row>
    <row r="42" spans="7:10" x14ac:dyDescent="0.25">
      <c r="G42" s="43" t="s">
        <v>76</v>
      </c>
      <c r="H42" s="51">
        <f>IF(SUM(H31+H28)&lt;0,0,SUM(H31+H28))</f>
        <v>1757000000</v>
      </c>
      <c r="I42" s="51">
        <f t="shared" ref="I42:J42" si="13">IF(SUM(I31+I28)&lt;0,0,SUM(I31+I28))</f>
        <v>1673000000</v>
      </c>
      <c r="J42" s="51">
        <f t="shared" si="13"/>
        <v>1494000000</v>
      </c>
    </row>
    <row r="43" spans="7:10" ht="15.75" x14ac:dyDescent="0.25">
      <c r="G43" s="7" t="s">
        <v>13</v>
      </c>
      <c r="H43" s="51">
        <f t="shared" ref="H43:I43" si="14">IF(H41-H42&gt;0,0,-(H41-H42))</f>
        <v>0</v>
      </c>
      <c r="I43" s="51">
        <f t="shared" si="14"/>
        <v>0</v>
      </c>
      <c r="J43" s="51">
        <f>IF(J41-J42&gt;0,0,-(J41-J42))</f>
        <v>0</v>
      </c>
    </row>
    <row r="44" spans="7:10" ht="15.75" x14ac:dyDescent="0.25">
      <c r="G44" s="67" t="s">
        <v>73</v>
      </c>
      <c r="H44" s="69">
        <f>606000000</f>
        <v>606000000</v>
      </c>
      <c r="I44" s="69">
        <f>22000000</f>
        <v>22000000</v>
      </c>
      <c r="J44" s="69">
        <f>30000000</f>
        <v>30000000</v>
      </c>
    </row>
  </sheetData>
  <mergeCells count="2">
    <mergeCell ref="G22:J23"/>
    <mergeCell ref="A20:F20"/>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3" zoomScaleNormal="73" workbookViewId="0">
      <selection activeCell="A13" sqref="A13:D18"/>
    </sheetView>
  </sheetViews>
  <sheetFormatPr baseColWidth="10" defaultRowHeight="15" x14ac:dyDescent="0.25"/>
  <cols>
    <col min="1" max="1" width="25.42578125" customWidth="1"/>
    <col min="2" max="4" width="19.140625" bestFit="1" customWidth="1"/>
    <col min="5" max="5" width="24.28515625" customWidth="1"/>
    <col min="6" max="8" width="20.28515625" bestFit="1" customWidth="1"/>
    <col min="10" max="10" width="70.140625" bestFit="1" customWidth="1"/>
  </cols>
  <sheetData>
    <row r="1" spans="1:10" ht="18.75" x14ac:dyDescent="0.25">
      <c r="A1" s="1" t="s">
        <v>0</v>
      </c>
      <c r="B1" s="2">
        <v>2013</v>
      </c>
      <c r="C1" s="2">
        <v>2014</v>
      </c>
      <c r="D1" s="2">
        <v>2015</v>
      </c>
      <c r="E1" s="1" t="s">
        <v>26</v>
      </c>
      <c r="F1" s="2">
        <v>2013</v>
      </c>
      <c r="G1" s="2">
        <v>2014</v>
      </c>
      <c r="H1" s="2">
        <v>2015</v>
      </c>
      <c r="J1" s="13" t="s">
        <v>16</v>
      </c>
    </row>
    <row r="2" spans="1:10" ht="15.75" x14ac:dyDescent="0.25">
      <c r="A2" s="4" t="s">
        <v>12</v>
      </c>
      <c r="B2" s="3">
        <f>'3) Consolidation - EBITDA'!D15</f>
        <v>0.3</v>
      </c>
      <c r="C2" s="3">
        <f>'3) Consolidation - EBITDA'!E15</f>
        <v>0.3</v>
      </c>
      <c r="D2" s="3">
        <f>'3) Consolidation - EBITDA'!F15</f>
        <v>0.3</v>
      </c>
      <c r="J2" s="19" t="s">
        <v>32</v>
      </c>
    </row>
    <row r="3" spans="1:10" ht="15.75" x14ac:dyDescent="0.25">
      <c r="A3" s="7" t="s">
        <v>13</v>
      </c>
      <c r="B3" s="3">
        <f>'3) Consolidation - EBITDA'!D16</f>
        <v>121938877.5</v>
      </c>
      <c r="C3" s="3">
        <f>'3) Consolidation - EBITDA'!E16</f>
        <v>0</v>
      </c>
      <c r="D3" s="3">
        <f>'3) Consolidation - EBITDA'!F16</f>
        <v>37686162.899999999</v>
      </c>
      <c r="J3" s="19" t="s">
        <v>47</v>
      </c>
    </row>
    <row r="4" spans="1:10" ht="30" x14ac:dyDescent="0.25">
      <c r="A4" s="6" t="s">
        <v>14</v>
      </c>
      <c r="B4" s="3">
        <v>39144505896</v>
      </c>
      <c r="C4" s="3">
        <v>36011333178</v>
      </c>
      <c r="D4" s="3">
        <v>31163834115</v>
      </c>
      <c r="E4" s="6" t="s">
        <v>14</v>
      </c>
      <c r="F4" s="3">
        <v>55308000000</v>
      </c>
      <c r="G4" s="3">
        <v>54257000000</v>
      </c>
      <c r="H4" s="3">
        <v>45719000000</v>
      </c>
      <c r="J4" s="20" t="s">
        <v>48</v>
      </c>
    </row>
    <row r="5" spans="1:10" ht="15.75" x14ac:dyDescent="0.25">
      <c r="A5" s="6" t="s">
        <v>42</v>
      </c>
      <c r="B5" s="3">
        <v>60979411139</v>
      </c>
      <c r="C5" s="3">
        <v>66992443887</v>
      </c>
      <c r="D5" s="3">
        <v>79242530196</v>
      </c>
      <c r="E5" s="30" t="s">
        <v>42</v>
      </c>
      <c r="F5" s="3">
        <v>141666000000</v>
      </c>
      <c r="G5" s="3">
        <v>142550000000</v>
      </c>
      <c r="H5" s="3">
        <v>134635000000</v>
      </c>
      <c r="J5" s="36"/>
    </row>
    <row r="6" spans="1:10" ht="15.75" x14ac:dyDescent="0.25">
      <c r="A6" s="4" t="s">
        <v>43</v>
      </c>
      <c r="B6" s="37">
        <f t="shared" ref="B6" si="0">B4/B5</f>
        <v>0.64192987706574844</v>
      </c>
      <c r="C6" s="37">
        <f t="shared" ref="C6" si="1">C4/C5</f>
        <v>0.53754320768984609</v>
      </c>
      <c r="D6" s="37">
        <f>D4/D5</f>
        <v>0.39327156815814401</v>
      </c>
      <c r="E6" s="31" t="s">
        <v>43</v>
      </c>
      <c r="F6" s="10">
        <f t="shared" ref="F6:G6" si="2">F4/F5</f>
        <v>0.39041124899411289</v>
      </c>
      <c r="G6" s="10">
        <f t="shared" si="2"/>
        <v>0.38061732725359521</v>
      </c>
      <c r="H6" s="10">
        <f>H4/H5</f>
        <v>0.33957737586808778</v>
      </c>
      <c r="J6" s="33"/>
    </row>
    <row r="7" spans="1:10" ht="18.75" x14ac:dyDescent="0.25">
      <c r="A7" s="6" t="s">
        <v>51</v>
      </c>
      <c r="B7" s="32">
        <f t="shared" ref="B7:C7" si="3">F6-B6</f>
        <v>-0.25151862807163555</v>
      </c>
      <c r="C7" s="32">
        <f t="shared" si="3"/>
        <v>-0.15692588043625089</v>
      </c>
      <c r="D7" s="46">
        <f>H6-D6</f>
        <v>-5.3694192290056231E-2</v>
      </c>
      <c r="J7" s="24" t="s">
        <v>35</v>
      </c>
    </row>
    <row r="8" spans="1:10" x14ac:dyDescent="0.25">
      <c r="B8">
        <f>B4-(B4*40%)</f>
        <v>23486703537.599998</v>
      </c>
      <c r="C8">
        <f>C4-(C4*25%)</f>
        <v>27008499883.5</v>
      </c>
      <c r="D8">
        <f>D4-(D4*10%)</f>
        <v>28047450703.5</v>
      </c>
      <c r="J8" s="25" t="s">
        <v>41</v>
      </c>
    </row>
    <row r="9" spans="1:10" x14ac:dyDescent="0.25">
      <c r="B9" s="49">
        <f>B8/B5</f>
        <v>0.38515792623944906</v>
      </c>
      <c r="C9" s="49">
        <f t="shared" ref="C9:D9" si="4">C8/C5</f>
        <v>0.40315740576738457</v>
      </c>
      <c r="D9" s="49">
        <f t="shared" si="4"/>
        <v>0.35394441134232962</v>
      </c>
      <c r="J9" s="34"/>
    </row>
    <row r="10" spans="1:10" x14ac:dyDescent="0.25">
      <c r="B10">
        <f>B5+(B5*60%)</f>
        <v>97567057822.399994</v>
      </c>
      <c r="C10">
        <f>C5+(C5*50%)</f>
        <v>100488665830.5</v>
      </c>
      <c r="D10">
        <f>D5+(D5*20%)</f>
        <v>95091036235.199997</v>
      </c>
    </row>
    <row r="11" spans="1:10" x14ac:dyDescent="0.25">
      <c r="B11" s="49">
        <f>B4/B10</f>
        <v>0.40120617316609281</v>
      </c>
      <c r="C11" s="49">
        <f t="shared" ref="C11:D11" si="5">C4/C10</f>
        <v>0.35836213845989739</v>
      </c>
      <c r="D11" s="49">
        <f t="shared" si="5"/>
        <v>0.32772630679845338</v>
      </c>
    </row>
    <row r="13" spans="1:10" ht="56.25" x14ac:dyDescent="0.25">
      <c r="A13" s="91" t="s">
        <v>0</v>
      </c>
      <c r="B13" s="2">
        <v>2013</v>
      </c>
      <c r="C13" s="2">
        <v>2014</v>
      </c>
      <c r="D13" s="2">
        <v>2015</v>
      </c>
      <c r="E13" s="91" t="s">
        <v>26</v>
      </c>
      <c r="F13" s="2">
        <v>2013</v>
      </c>
      <c r="G13" s="2">
        <v>2014</v>
      </c>
      <c r="H13" s="2">
        <v>2015</v>
      </c>
    </row>
    <row r="14" spans="1:10" ht="15.75" hidden="1" x14ac:dyDescent="0.25">
      <c r="A14" s="4" t="s">
        <v>12</v>
      </c>
      <c r="B14" s="53" t="e">
        <f>'[1]3) Consolidation - EBITDA'!#REF!</f>
        <v>#REF!</v>
      </c>
      <c r="C14" s="3" t="e">
        <f>'[1]3) Consolidation - EBITDA'!#REF!</f>
        <v>#REF!</v>
      </c>
      <c r="D14" s="3" t="e">
        <f>'[1]3) Consolidation - EBITDA'!#REF!</f>
        <v>#REF!</v>
      </c>
    </row>
    <row r="15" spans="1:10" ht="30" hidden="1" x14ac:dyDescent="0.25">
      <c r="A15" s="92" t="s">
        <v>13</v>
      </c>
      <c r="B15" s="50">
        <f>'3) Consolidation - EBITDA'!D18</f>
        <v>415551960.5</v>
      </c>
      <c r="C15" s="50">
        <f>'3) Consolidation - EBITDA'!E18</f>
        <v>1264031923</v>
      </c>
      <c r="D15" s="50">
        <f>'3) Consolidation - EBITDA'!F18</f>
        <v>1170062506.0999999</v>
      </c>
      <c r="E15" s="61"/>
      <c r="F15" s="61"/>
      <c r="G15" s="61"/>
      <c r="H15" s="61"/>
    </row>
    <row r="16" spans="1:10" x14ac:dyDescent="0.25">
      <c r="A16" s="86" t="s">
        <v>14</v>
      </c>
      <c r="B16" s="50">
        <f>B4</f>
        <v>39144505896</v>
      </c>
      <c r="C16" s="50">
        <f t="shared" ref="C16:D16" si="6">C4</f>
        <v>36011333178</v>
      </c>
      <c r="D16" s="50">
        <f t="shared" si="6"/>
        <v>31163834115</v>
      </c>
      <c r="E16" s="87" t="s">
        <v>14</v>
      </c>
      <c r="F16" s="88">
        <f>F4</f>
        <v>55308000000</v>
      </c>
      <c r="G16" s="88">
        <f t="shared" ref="F16:H17" si="7">G4</f>
        <v>54257000000</v>
      </c>
      <c r="H16" s="88">
        <f t="shared" si="7"/>
        <v>45719000000</v>
      </c>
    </row>
    <row r="17" spans="1:8" x14ac:dyDescent="0.25">
      <c r="A17" s="86" t="s">
        <v>42</v>
      </c>
      <c r="B17" s="50">
        <f>B5</f>
        <v>60979411139</v>
      </c>
      <c r="C17" s="50">
        <f t="shared" ref="C17:D17" si="8">C5</f>
        <v>66992443887</v>
      </c>
      <c r="D17" s="50">
        <f t="shared" si="8"/>
        <v>79242530196</v>
      </c>
      <c r="E17" s="86" t="s">
        <v>42</v>
      </c>
      <c r="F17" s="88">
        <f t="shared" si="7"/>
        <v>141666000000</v>
      </c>
      <c r="G17" s="88">
        <f t="shared" si="7"/>
        <v>142550000000</v>
      </c>
      <c r="H17" s="88">
        <f t="shared" si="7"/>
        <v>134635000000</v>
      </c>
    </row>
    <row r="18" spans="1:8" x14ac:dyDescent="0.25">
      <c r="A18" s="29" t="s">
        <v>43</v>
      </c>
      <c r="B18" s="89">
        <f t="shared" ref="B18:C18" si="9">B16/B17</f>
        <v>0.64192987706574844</v>
      </c>
      <c r="C18" s="89">
        <f t="shared" ref="C18:D18" si="10">C16/C17</f>
        <v>0.53754320768984609</v>
      </c>
      <c r="D18" s="89">
        <f t="shared" si="10"/>
        <v>0.39327156815814401</v>
      </c>
      <c r="E18" s="90" t="s">
        <v>43</v>
      </c>
      <c r="F18" s="89">
        <f t="shared" ref="F18:H18" si="11">F16/F17</f>
        <v>0.39041124899411289</v>
      </c>
      <c r="G18" s="89">
        <f t="shared" si="11"/>
        <v>0.38061732725359521</v>
      </c>
      <c r="H18" s="89">
        <f t="shared" si="11"/>
        <v>0.33957737586808778</v>
      </c>
    </row>
    <row r="19" spans="1:8" ht="18.75" x14ac:dyDescent="0.25">
      <c r="A19" s="71" t="s">
        <v>51</v>
      </c>
      <c r="B19" s="71"/>
      <c r="C19" s="71"/>
      <c r="D19" s="71"/>
      <c r="E19" s="95"/>
      <c r="F19" s="95"/>
      <c r="G19" s="95"/>
      <c r="H19" s="96"/>
    </row>
    <row r="20" spans="1:8" x14ac:dyDescent="0.25">
      <c r="A20" s="97" t="s">
        <v>51</v>
      </c>
      <c r="B20" s="93">
        <f>B18-F18</f>
        <v>0.25151862807163555</v>
      </c>
      <c r="C20" s="93">
        <f t="shared" ref="C20:D20" si="12">C18-G18</f>
        <v>0.15692588043625089</v>
      </c>
      <c r="D20" s="93">
        <f t="shared" si="12"/>
        <v>5.3694192290056231E-2</v>
      </c>
      <c r="E20" s="79"/>
      <c r="F20" s="61"/>
      <c r="G20" s="61"/>
      <c r="H20" s="61"/>
    </row>
  </sheetData>
  <mergeCells count="3">
    <mergeCell ref="E15:H15"/>
    <mergeCell ref="E20:H20"/>
    <mergeCell ref="A19:D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Plan</vt:lpstr>
      <vt:lpstr>Données</vt:lpstr>
      <vt:lpstr>1)Règles de base - 30% et 3M</vt:lpstr>
      <vt:lpstr>1)bis - 30% du groupe</vt:lpstr>
      <vt:lpstr>2) Report</vt:lpstr>
      <vt:lpstr>3) Consolidation - EBITDA</vt:lpstr>
      <vt:lpstr>3) Conso compt - equity escape</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X230T</dc:creator>
  <cp:lastModifiedBy>X230T</cp:lastModifiedBy>
  <cp:lastPrinted>2017-05-19T13:31:27Z</cp:lastPrinted>
  <dcterms:created xsi:type="dcterms:W3CDTF">2017-05-07T19:23:08Z</dcterms:created>
  <dcterms:modified xsi:type="dcterms:W3CDTF">2017-08-18T17:37:54Z</dcterms:modified>
</cp:coreProperties>
</file>